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T:\6. Zajednički poslovi\2026_Tehnički sektor - Povjerenstvo_Odjel Graditeljstva\02_Natječaji_POTRES\Natječaji\Palmotićeva ulica 70\Ispravljeni troškovnik\"/>
    </mc:Choice>
  </mc:AlternateContent>
  <xr:revisionPtr revIDLastSave="0" documentId="8_{3E8DE18C-304E-4653-970B-218C9C6F999B}" xr6:coauthVersionLast="47" xr6:coauthVersionMax="47" xr10:uidLastSave="{00000000-0000-0000-0000-000000000000}"/>
  <bookViews>
    <workbookView xWindow="-120" yWindow="-120" windowWidth="29040" windowHeight="15720" xr2:uid="{00000000-000D-0000-FFFF-FFFF00000000}"/>
  </bookViews>
  <sheets>
    <sheet name="Troškovnik -bez cijena" sheetId="1" r:id="rId1"/>
    <sheet name="Troškovnik - ostali radovi -bez" sheetId="2" r:id="rId2"/>
  </sheets>
  <externalReferences>
    <externalReference r:id="rId3"/>
    <externalReference r:id="rId4"/>
  </externalReferences>
  <definedNames>
    <definedName name="_________ko1" localSheetId="1">'[1]01'!#REF!</definedName>
    <definedName name="_________ko1" localSheetId="0">'[1]01'!#REF!</definedName>
    <definedName name="_________ko1">'[1]01'!#REF!</definedName>
    <definedName name="_________ko15" localSheetId="1">'[1]15'!#REF!</definedName>
    <definedName name="_________ko15" localSheetId="0">'[1]15'!#REF!</definedName>
    <definedName name="_________ko15">'[1]15'!#REF!</definedName>
    <definedName name="_________ko16" localSheetId="1">'[1]16'!#REF!</definedName>
    <definedName name="_________ko16" localSheetId="0">'[1]16'!#REF!</definedName>
    <definedName name="_________ko16">'[1]16'!#REF!</definedName>
    <definedName name="_________ko19" localSheetId="1">'[1]19'!#REF!</definedName>
    <definedName name="_________ko19" localSheetId="0">'[1]19'!#REF!</definedName>
    <definedName name="_________ko19">'[1]19'!#REF!</definedName>
    <definedName name="_________ko2" localSheetId="1">'[1]02'!#REF!</definedName>
    <definedName name="_________ko2" localSheetId="0">'[1]02'!#REF!</definedName>
    <definedName name="_________ko2">'[1]02'!#REF!</definedName>
    <definedName name="_________ko21" localSheetId="1">'[1]21'!#REF!</definedName>
    <definedName name="_________ko21" localSheetId="0">'[1]21'!#REF!</definedName>
    <definedName name="_________ko21">'[1]21'!#REF!</definedName>
    <definedName name="_________ko22" localSheetId="1">'[1]22'!#REF!</definedName>
    <definedName name="_________ko22" localSheetId="0">'[1]22'!#REF!</definedName>
    <definedName name="_________ko22">'[1]22'!#REF!</definedName>
    <definedName name="_________ko23" localSheetId="1">'[1]23'!#REF!</definedName>
    <definedName name="_________ko23" localSheetId="0">'[1]23'!#REF!</definedName>
    <definedName name="_________ko23">'[1]23'!#REF!</definedName>
    <definedName name="_________ko24" localSheetId="1">'[1]24'!#REF!</definedName>
    <definedName name="_________ko24" localSheetId="0">'[1]24'!#REF!</definedName>
    <definedName name="_________ko24">'[1]24'!#REF!</definedName>
    <definedName name="_________ko26" localSheetId="1">'[1]26'!#REF!</definedName>
    <definedName name="_________ko26" localSheetId="0">'[1]26'!#REF!</definedName>
    <definedName name="_________ko26">'[1]26'!#REF!</definedName>
    <definedName name="_________ko3" localSheetId="1">'[1]03'!#REF!</definedName>
    <definedName name="_________ko3" localSheetId="0">'[1]03'!#REF!</definedName>
    <definedName name="_________ko3">'[1]03'!#REF!</definedName>
    <definedName name="_________ko35" localSheetId="1">'[1]35'!#REF!</definedName>
    <definedName name="_________ko35" localSheetId="0">'[1]35'!#REF!</definedName>
    <definedName name="_________ko35">'[1]35'!#REF!</definedName>
    <definedName name="_________ko39" localSheetId="1">'[1]39'!#REF!</definedName>
    <definedName name="_________ko39" localSheetId="0">'[1]39'!#REF!</definedName>
    <definedName name="_________ko39">'[1]39'!#REF!</definedName>
    <definedName name="_________ko40" localSheetId="1">'[1]40'!#REF!</definedName>
    <definedName name="_________ko40" localSheetId="0">'[1]40'!#REF!</definedName>
    <definedName name="_________ko40">'[1]40'!#REF!</definedName>
    <definedName name="_________ko6" localSheetId="1">#REF!</definedName>
    <definedName name="_________ko6" localSheetId="0">#REF!</definedName>
    <definedName name="_________ko6">#REF!</definedName>
    <definedName name="_________ko7" localSheetId="1">'[1]07'!#REF!</definedName>
    <definedName name="_________ko7" localSheetId="0">'[1]07'!#REF!</definedName>
    <definedName name="_________ko7">'[1]07'!#REF!</definedName>
    <definedName name="_________RR131" localSheetId="1">#REF!</definedName>
    <definedName name="_________RR131" localSheetId="0">#REF!</definedName>
    <definedName name="_________RR131">#REF!</definedName>
    <definedName name="_______ko1" localSheetId="1">'[1]01'!#REF!</definedName>
    <definedName name="_______ko1" localSheetId="0">'[1]01'!#REF!</definedName>
    <definedName name="_______ko1">'[1]01'!#REF!</definedName>
    <definedName name="_______ko15" localSheetId="1">'[1]15'!#REF!</definedName>
    <definedName name="_______ko15" localSheetId="0">'[1]15'!#REF!</definedName>
    <definedName name="_______ko15">'[1]15'!#REF!</definedName>
    <definedName name="_______ko16" localSheetId="1">'[1]16'!#REF!</definedName>
    <definedName name="_______ko16" localSheetId="0">'[1]16'!#REF!</definedName>
    <definedName name="_______ko16">'[1]16'!#REF!</definedName>
    <definedName name="_______ko19" localSheetId="1">'[1]19'!#REF!</definedName>
    <definedName name="_______ko19" localSheetId="0">'[1]19'!#REF!</definedName>
    <definedName name="_______ko19">'[1]19'!#REF!</definedName>
    <definedName name="_______ko2" localSheetId="1">'[1]02'!#REF!</definedName>
    <definedName name="_______ko2" localSheetId="0">'[1]02'!#REF!</definedName>
    <definedName name="_______ko2">'[1]02'!#REF!</definedName>
    <definedName name="_______ko21" localSheetId="1">'[1]21'!#REF!</definedName>
    <definedName name="_______ko21" localSheetId="0">'[1]21'!#REF!</definedName>
    <definedName name="_______ko21">'[1]21'!#REF!</definedName>
    <definedName name="_______ko22" localSheetId="1">'[1]22'!#REF!</definedName>
    <definedName name="_______ko22" localSheetId="0">'[1]22'!#REF!</definedName>
    <definedName name="_______ko22">'[1]22'!#REF!</definedName>
    <definedName name="_______ko23" localSheetId="1">'[1]23'!#REF!</definedName>
    <definedName name="_______ko23" localSheetId="0">'[1]23'!#REF!</definedName>
    <definedName name="_______ko23">'[1]23'!#REF!</definedName>
    <definedName name="_______ko24" localSheetId="1">'[1]24'!#REF!</definedName>
    <definedName name="_______ko24" localSheetId="0">'[1]24'!#REF!</definedName>
    <definedName name="_______ko24">'[1]24'!#REF!</definedName>
    <definedName name="_______ko26" localSheetId="1">'[1]26'!#REF!</definedName>
    <definedName name="_______ko26" localSheetId="0">'[1]26'!#REF!</definedName>
    <definedName name="_______ko26">'[1]26'!#REF!</definedName>
    <definedName name="_______ko3" localSheetId="1">'[1]03'!#REF!</definedName>
    <definedName name="_______ko3" localSheetId="0">'[1]03'!#REF!</definedName>
    <definedName name="_______ko3">'[1]03'!#REF!</definedName>
    <definedName name="_______ko35" localSheetId="1">'[1]35'!#REF!</definedName>
    <definedName name="_______ko35" localSheetId="0">'[1]35'!#REF!</definedName>
    <definedName name="_______ko35">'[1]35'!#REF!</definedName>
    <definedName name="_______ko39" localSheetId="1">'[1]39'!#REF!</definedName>
    <definedName name="_______ko39" localSheetId="0">'[1]39'!#REF!</definedName>
    <definedName name="_______ko39">'[1]39'!#REF!</definedName>
    <definedName name="_______ko40" localSheetId="1">'[1]40'!#REF!</definedName>
    <definedName name="_______ko40" localSheetId="0">'[1]40'!#REF!</definedName>
    <definedName name="_______ko40">'[1]40'!#REF!</definedName>
    <definedName name="_______ko6" localSheetId="1">#REF!</definedName>
    <definedName name="_______ko6" localSheetId="0">#REF!</definedName>
    <definedName name="_______ko6">#REF!</definedName>
    <definedName name="_______ko7" localSheetId="1">'[1]07'!#REF!</definedName>
    <definedName name="_______ko7" localSheetId="0">'[1]07'!#REF!</definedName>
    <definedName name="_______ko7">'[1]07'!#REF!</definedName>
    <definedName name="_______RR131" localSheetId="1">#REF!</definedName>
    <definedName name="_______RR131" localSheetId="0">#REF!</definedName>
    <definedName name="_______RR131">#REF!</definedName>
    <definedName name="______ko1" localSheetId="1">'[1]01'!#REF!</definedName>
    <definedName name="______ko1" localSheetId="0">'[1]01'!#REF!</definedName>
    <definedName name="______ko1">'[1]01'!#REF!</definedName>
    <definedName name="______ko15" localSheetId="1">'[1]15'!#REF!</definedName>
    <definedName name="______ko15" localSheetId="0">'[1]15'!#REF!</definedName>
    <definedName name="______ko15">'[1]15'!#REF!</definedName>
    <definedName name="______ko16" localSheetId="1">'[1]16'!#REF!</definedName>
    <definedName name="______ko16" localSheetId="0">'[1]16'!#REF!</definedName>
    <definedName name="______ko16">'[1]16'!#REF!</definedName>
    <definedName name="______ko19" localSheetId="1">'[1]19'!#REF!</definedName>
    <definedName name="______ko19" localSheetId="0">'[1]19'!#REF!</definedName>
    <definedName name="______ko19">'[1]19'!#REF!</definedName>
    <definedName name="______ko2" localSheetId="1">'[1]02'!#REF!</definedName>
    <definedName name="______ko2" localSheetId="0">'[1]02'!#REF!</definedName>
    <definedName name="______ko2">'[1]02'!#REF!</definedName>
    <definedName name="______ko21" localSheetId="1">'[1]21'!#REF!</definedName>
    <definedName name="______ko21" localSheetId="0">'[1]21'!#REF!</definedName>
    <definedName name="______ko21">'[1]21'!#REF!</definedName>
    <definedName name="______ko22" localSheetId="1">'[1]22'!#REF!</definedName>
    <definedName name="______ko22" localSheetId="0">'[1]22'!#REF!</definedName>
    <definedName name="______ko22">'[1]22'!#REF!</definedName>
    <definedName name="______ko23" localSheetId="1">'[1]23'!#REF!</definedName>
    <definedName name="______ko23" localSheetId="0">'[1]23'!#REF!</definedName>
    <definedName name="______ko23">'[1]23'!#REF!</definedName>
    <definedName name="______ko24" localSheetId="1">'[1]24'!#REF!</definedName>
    <definedName name="______ko24" localSheetId="0">'[1]24'!#REF!</definedName>
    <definedName name="______ko24">'[1]24'!#REF!</definedName>
    <definedName name="______ko26" localSheetId="1">'[1]26'!#REF!</definedName>
    <definedName name="______ko26" localSheetId="0">'[1]26'!#REF!</definedName>
    <definedName name="______ko26">'[1]26'!#REF!</definedName>
    <definedName name="______ko3" localSheetId="1">'[1]03'!#REF!</definedName>
    <definedName name="______ko3" localSheetId="0">'[1]03'!#REF!</definedName>
    <definedName name="______ko3">'[1]03'!#REF!</definedName>
    <definedName name="______ko35" localSheetId="1">'[1]35'!#REF!</definedName>
    <definedName name="______ko35" localSheetId="0">'[1]35'!#REF!</definedName>
    <definedName name="______ko35">'[1]35'!#REF!</definedName>
    <definedName name="______ko39" localSheetId="1">'[1]39'!#REF!</definedName>
    <definedName name="______ko39" localSheetId="0">'[1]39'!#REF!</definedName>
    <definedName name="______ko39">'[1]39'!#REF!</definedName>
    <definedName name="______ko40" localSheetId="1">'[1]40'!#REF!</definedName>
    <definedName name="______ko40" localSheetId="0">'[1]40'!#REF!</definedName>
    <definedName name="______ko40">'[1]40'!#REF!</definedName>
    <definedName name="______ko6" localSheetId="1">#REF!</definedName>
    <definedName name="______ko6" localSheetId="0">#REF!</definedName>
    <definedName name="______ko6">#REF!</definedName>
    <definedName name="______ko7" localSheetId="1">'[1]07'!#REF!</definedName>
    <definedName name="______ko7" localSheetId="0">'[1]07'!#REF!</definedName>
    <definedName name="______ko7">'[1]07'!#REF!</definedName>
    <definedName name="______RR131" localSheetId="1">#REF!</definedName>
    <definedName name="______RR131" localSheetId="0">#REF!</definedName>
    <definedName name="______RR131">#REF!</definedName>
    <definedName name="_____ko1" localSheetId="1">'[1]01'!#REF!</definedName>
    <definedName name="_____ko1" localSheetId="0">'[1]01'!#REF!</definedName>
    <definedName name="_____ko1">'[1]01'!#REF!</definedName>
    <definedName name="_____ko15" localSheetId="1">'[1]15'!#REF!</definedName>
    <definedName name="_____ko15" localSheetId="0">'[1]15'!#REF!</definedName>
    <definedName name="_____ko15">'[1]15'!#REF!</definedName>
    <definedName name="_____ko16" localSheetId="1">'[1]16'!#REF!</definedName>
    <definedName name="_____ko16" localSheetId="0">'[1]16'!#REF!</definedName>
    <definedName name="_____ko16">'[1]16'!#REF!</definedName>
    <definedName name="_____ko19" localSheetId="1">'[1]19'!#REF!</definedName>
    <definedName name="_____ko19" localSheetId="0">'[1]19'!#REF!</definedName>
    <definedName name="_____ko19">'[1]19'!#REF!</definedName>
    <definedName name="_____ko2" localSheetId="1">'[1]02'!#REF!</definedName>
    <definedName name="_____ko2" localSheetId="0">'[1]02'!#REF!</definedName>
    <definedName name="_____ko2">'[1]02'!#REF!</definedName>
    <definedName name="_____ko21" localSheetId="1">'[1]21'!#REF!</definedName>
    <definedName name="_____ko21" localSheetId="0">'[1]21'!#REF!</definedName>
    <definedName name="_____ko21">'[1]21'!#REF!</definedName>
    <definedName name="_____ko22" localSheetId="1">'[1]22'!#REF!</definedName>
    <definedName name="_____ko22" localSheetId="0">'[1]22'!#REF!</definedName>
    <definedName name="_____ko22">'[1]22'!#REF!</definedName>
    <definedName name="_____ko23" localSheetId="1">'[1]23'!#REF!</definedName>
    <definedName name="_____ko23" localSheetId="0">'[1]23'!#REF!</definedName>
    <definedName name="_____ko23">'[1]23'!#REF!</definedName>
    <definedName name="_____ko24" localSheetId="1">'[1]24'!#REF!</definedName>
    <definedName name="_____ko24" localSheetId="0">'[1]24'!#REF!</definedName>
    <definedName name="_____ko24">'[1]24'!#REF!</definedName>
    <definedName name="_____ko26" localSheetId="1">'[1]26'!#REF!</definedName>
    <definedName name="_____ko26" localSheetId="0">'[1]26'!#REF!</definedName>
    <definedName name="_____ko26">'[1]26'!#REF!</definedName>
    <definedName name="_____ko3" localSheetId="1">'[1]03'!#REF!</definedName>
    <definedName name="_____ko3" localSheetId="0">'[1]03'!#REF!</definedName>
    <definedName name="_____ko3">'[1]03'!#REF!</definedName>
    <definedName name="_____ko35" localSheetId="1">'[1]35'!#REF!</definedName>
    <definedName name="_____ko35" localSheetId="0">'[1]35'!#REF!</definedName>
    <definedName name="_____ko35">'[1]35'!#REF!</definedName>
    <definedName name="_____ko39" localSheetId="1">'[1]39'!#REF!</definedName>
    <definedName name="_____ko39" localSheetId="0">'[1]39'!#REF!</definedName>
    <definedName name="_____ko39">'[1]39'!#REF!</definedName>
    <definedName name="_____ko40" localSheetId="1">'[1]40'!#REF!</definedName>
    <definedName name="_____ko40" localSheetId="0">'[1]40'!#REF!</definedName>
    <definedName name="_____ko40">'[1]40'!#REF!</definedName>
    <definedName name="_____ko6" localSheetId="1">#REF!</definedName>
    <definedName name="_____ko6" localSheetId="0">#REF!</definedName>
    <definedName name="_____ko6">#REF!</definedName>
    <definedName name="_____ko7" localSheetId="1">'[1]07'!#REF!</definedName>
    <definedName name="_____ko7" localSheetId="0">'[1]07'!#REF!</definedName>
    <definedName name="_____ko7">'[1]07'!#REF!</definedName>
    <definedName name="_____RR131" localSheetId="1">#REF!</definedName>
    <definedName name="_____RR131" localSheetId="0">#REF!</definedName>
    <definedName name="_____RR131">#REF!</definedName>
    <definedName name="___ko1" localSheetId="1">'[1]01'!#REF!</definedName>
    <definedName name="___ko1" localSheetId="0">'[1]01'!#REF!</definedName>
    <definedName name="___ko1">'[1]01'!#REF!</definedName>
    <definedName name="___ko15" localSheetId="1">'[1]15'!#REF!</definedName>
    <definedName name="___ko15" localSheetId="0">'[1]15'!#REF!</definedName>
    <definedName name="___ko15">'[1]15'!#REF!</definedName>
    <definedName name="___ko16" localSheetId="1">'[1]16'!#REF!</definedName>
    <definedName name="___ko16" localSheetId="0">'[1]16'!#REF!</definedName>
    <definedName name="___ko16">'[1]16'!#REF!</definedName>
    <definedName name="___ko19" localSheetId="1">'[1]19'!#REF!</definedName>
    <definedName name="___ko19" localSheetId="0">'[1]19'!#REF!</definedName>
    <definedName name="___ko19">'[1]19'!#REF!</definedName>
    <definedName name="___ko2" localSheetId="1">'[1]02'!#REF!</definedName>
    <definedName name="___ko2" localSheetId="0">'[1]02'!#REF!</definedName>
    <definedName name="___ko2">'[1]02'!#REF!</definedName>
    <definedName name="___ko21" localSheetId="1">'[1]21'!#REF!</definedName>
    <definedName name="___ko21" localSheetId="0">'[1]21'!#REF!</definedName>
    <definedName name="___ko21">'[1]21'!#REF!</definedName>
    <definedName name="___ko22" localSheetId="1">'[1]22'!#REF!</definedName>
    <definedName name="___ko22" localSheetId="0">'[1]22'!#REF!</definedName>
    <definedName name="___ko22">'[1]22'!#REF!</definedName>
    <definedName name="___ko23" localSheetId="1">'[1]23'!#REF!</definedName>
    <definedName name="___ko23" localSheetId="0">'[1]23'!#REF!</definedName>
    <definedName name="___ko23">'[1]23'!#REF!</definedName>
    <definedName name="___ko24" localSheetId="1">'[1]24'!#REF!</definedName>
    <definedName name="___ko24" localSheetId="0">'[1]24'!#REF!</definedName>
    <definedName name="___ko24">'[1]24'!#REF!</definedName>
    <definedName name="___ko26" localSheetId="1">'[1]26'!#REF!</definedName>
    <definedName name="___ko26" localSheetId="0">'[1]26'!#REF!</definedName>
    <definedName name="___ko26">'[1]26'!#REF!</definedName>
    <definedName name="___ko3" localSheetId="1">'[1]03'!#REF!</definedName>
    <definedName name="___ko3" localSheetId="0">'[1]03'!#REF!</definedName>
    <definedName name="___ko3">'[1]03'!#REF!</definedName>
    <definedName name="___ko35" localSheetId="1">'[1]35'!#REF!</definedName>
    <definedName name="___ko35" localSheetId="0">'[1]35'!#REF!</definedName>
    <definedName name="___ko35">'[1]35'!#REF!</definedName>
    <definedName name="___ko39" localSheetId="1">'[1]39'!#REF!</definedName>
    <definedName name="___ko39" localSheetId="0">'[1]39'!#REF!</definedName>
    <definedName name="___ko39">'[1]39'!#REF!</definedName>
    <definedName name="___ko40" localSheetId="1">'[1]40'!#REF!</definedName>
    <definedName name="___ko40" localSheetId="0">'[1]40'!#REF!</definedName>
    <definedName name="___ko40">'[1]40'!#REF!</definedName>
    <definedName name="___ko6" localSheetId="1">#REF!</definedName>
    <definedName name="___ko6" localSheetId="0">#REF!</definedName>
    <definedName name="___ko6">#REF!</definedName>
    <definedName name="___ko7" localSheetId="1">'[1]07'!#REF!</definedName>
    <definedName name="___ko7" localSheetId="0">'[1]07'!#REF!</definedName>
    <definedName name="___ko7">'[1]07'!#REF!</definedName>
    <definedName name="___RR131" localSheetId="1">#REF!</definedName>
    <definedName name="___RR131" localSheetId="0">#REF!</definedName>
    <definedName name="___RR131">#REF!</definedName>
    <definedName name="_ko1" localSheetId="1">'[1]01'!#REF!</definedName>
    <definedName name="_ko1" localSheetId="0">'[1]01'!#REF!</definedName>
    <definedName name="_ko1">'[1]01'!#REF!</definedName>
    <definedName name="_ko15" localSheetId="1">'[1]15'!#REF!</definedName>
    <definedName name="_ko15" localSheetId="0">'[1]15'!#REF!</definedName>
    <definedName name="_ko15">'[1]15'!#REF!</definedName>
    <definedName name="_ko16" localSheetId="1">'[1]16'!#REF!</definedName>
    <definedName name="_ko16" localSheetId="0">'[1]16'!#REF!</definedName>
    <definedName name="_ko16">'[1]16'!#REF!</definedName>
    <definedName name="_ko19" localSheetId="1">'[1]19'!#REF!</definedName>
    <definedName name="_ko19" localSheetId="0">'[1]19'!#REF!</definedName>
    <definedName name="_ko19">'[1]19'!#REF!</definedName>
    <definedName name="_ko2" localSheetId="1">'[1]02'!#REF!</definedName>
    <definedName name="_ko2" localSheetId="0">'[1]02'!#REF!</definedName>
    <definedName name="_ko2">'[1]02'!#REF!</definedName>
    <definedName name="_ko21" localSheetId="1">'[1]21'!#REF!</definedName>
    <definedName name="_ko21" localSheetId="0">'[1]21'!#REF!</definedName>
    <definedName name="_ko21">'[1]21'!#REF!</definedName>
    <definedName name="_ko22" localSheetId="1">'[1]22'!#REF!</definedName>
    <definedName name="_ko22" localSheetId="0">'[1]22'!#REF!</definedName>
    <definedName name="_ko22">'[1]22'!#REF!</definedName>
    <definedName name="_ko23" localSheetId="1">'[1]23'!#REF!</definedName>
    <definedName name="_ko23" localSheetId="0">'[1]23'!#REF!</definedName>
    <definedName name="_ko23">'[1]23'!#REF!</definedName>
    <definedName name="_ko24" localSheetId="1">'[1]24'!#REF!</definedName>
    <definedName name="_ko24" localSheetId="0">'[1]24'!#REF!</definedName>
    <definedName name="_ko24">'[1]24'!#REF!</definedName>
    <definedName name="_ko26" localSheetId="1">'[1]26'!#REF!</definedName>
    <definedName name="_ko26" localSheetId="0">'[1]26'!#REF!</definedName>
    <definedName name="_ko26">'[1]26'!#REF!</definedName>
    <definedName name="_ko3" localSheetId="1">'[1]03'!#REF!</definedName>
    <definedName name="_ko3" localSheetId="0">'[1]03'!#REF!</definedName>
    <definedName name="_ko3">'[1]03'!#REF!</definedName>
    <definedName name="_ko35" localSheetId="1">'[1]35'!#REF!</definedName>
    <definedName name="_ko35" localSheetId="0">'[1]35'!#REF!</definedName>
    <definedName name="_ko35">'[1]35'!#REF!</definedName>
    <definedName name="_ko39" localSheetId="1">'[1]39'!#REF!</definedName>
    <definedName name="_ko39" localSheetId="0">'[1]39'!#REF!</definedName>
    <definedName name="_ko39">'[1]39'!#REF!</definedName>
    <definedName name="_ko40" localSheetId="1">'[1]40'!#REF!</definedName>
    <definedName name="_ko40" localSheetId="0">'[1]40'!#REF!</definedName>
    <definedName name="_ko40">'[1]40'!#REF!</definedName>
    <definedName name="_ko6" localSheetId="1">#REF!</definedName>
    <definedName name="_ko6" localSheetId="0">#REF!</definedName>
    <definedName name="_ko6">#REF!</definedName>
    <definedName name="_ko7" localSheetId="1">'[1]07'!#REF!</definedName>
    <definedName name="_ko7" localSheetId="0">'[1]07'!#REF!</definedName>
    <definedName name="_ko7">'[1]07'!#REF!</definedName>
    <definedName name="_RR131" localSheetId="1">#REF!</definedName>
    <definedName name="_RR131" localSheetId="0">#REF!</definedName>
    <definedName name="_RR131">#REF!</definedName>
    <definedName name="Arm_beton" localSheetId="1">#REF!</definedName>
    <definedName name="Arm_beton" localSheetId="0">#REF!</definedName>
    <definedName name="Arm_beton">#REF!</definedName>
    <definedName name="Armiracki" localSheetId="1">#REF!</definedName>
    <definedName name="Armiracki" localSheetId="0">#REF!</definedName>
    <definedName name="Armiracki">#REF!</definedName>
    <definedName name="Betonski" localSheetId="1">#REF!</definedName>
    <definedName name="Betonski" localSheetId="0">#REF!</definedName>
    <definedName name="Betonski">#REF!</definedName>
    <definedName name="dtce" localSheetId="1">#REF!</definedName>
    <definedName name="dtce" localSheetId="0">#REF!</definedName>
    <definedName name="dtce">#REF!</definedName>
    <definedName name="Izolateri" localSheetId="1">#REF!</definedName>
    <definedName name="Izolateri" localSheetId="0">#REF!</definedName>
    <definedName name="Izolateri">#REF!</definedName>
    <definedName name="kmc" localSheetId="1">#REF!</definedName>
    <definedName name="kmc" localSheetId="0">#REF!</definedName>
    <definedName name="kmc">#REF!</definedName>
    <definedName name="koef" localSheetId="1">#REF!</definedName>
    <definedName name="koef" localSheetId="0">#REF!</definedName>
    <definedName name="koef">#REF!</definedName>
    <definedName name="mc" localSheetId="1">#REF!</definedName>
    <definedName name="mc" localSheetId="0">#REF!</definedName>
    <definedName name="mc">#REF!</definedName>
    <definedName name="mcme" localSheetId="1">#REF!</definedName>
    <definedName name="mcme" localSheetId="0">#REF!</definedName>
    <definedName name="mcme">#REF!</definedName>
    <definedName name="mcmf" localSheetId="1">#REF!</definedName>
    <definedName name="mcmf" localSheetId="0">#REF!</definedName>
    <definedName name="mcmf">#REF!</definedName>
    <definedName name="mcml" localSheetId="1">#REF!</definedName>
    <definedName name="mcml" localSheetId="0">#REF!</definedName>
    <definedName name="mcml">#REF!</definedName>
    <definedName name="me" localSheetId="1">#REF!</definedName>
    <definedName name="me" localSheetId="0">#REF!</definedName>
    <definedName name="me">#REF!</definedName>
    <definedName name="mf" localSheetId="1">#REF!</definedName>
    <definedName name="mf" localSheetId="0">#REF!</definedName>
    <definedName name="mf">#REF!</definedName>
    <definedName name="ml" localSheetId="1">#REF!</definedName>
    <definedName name="ml" localSheetId="0">#REF!</definedName>
    <definedName name="ml">#REF!</definedName>
    <definedName name="Pero">'[2]1.  ZEMLJANI'!$A$3:$H$28</definedName>
    <definedName name="PODACI" localSheetId="1">#REF!</definedName>
    <definedName name="PODACI" localSheetId="0">#REF!</definedName>
    <definedName name="PODACI">#REF!</definedName>
    <definedName name="PODACI_MA" localSheetId="1">#REF!</definedName>
    <definedName name="PODACI_MA" localSheetId="0">#REF!</definedName>
    <definedName name="PODACI_MA">#REF!</definedName>
    <definedName name="PODACIGA" localSheetId="1">#REF!</definedName>
    <definedName name="PODACIGA" localSheetId="0">#REF!</definedName>
    <definedName name="PODACIGA">#REF!</definedName>
    <definedName name="PODACIRA" localSheetId="1">#REF!</definedName>
    <definedName name="PODACIRA" localSheetId="0">#REF!</definedName>
    <definedName name="PODACIRA">#REF!</definedName>
    <definedName name="_xlnm.Print_Area" localSheetId="1">'Troškovnik - ostali radovi -bez'!$A$1:$F$254</definedName>
    <definedName name="_xlnm.Print_Area" localSheetId="0">'Troškovnik -bez cijena'!$A$1:$F$1342</definedName>
    <definedName name="RRR" localSheetId="1">#REF!</definedName>
    <definedName name="RRR" localSheetId="0">#REF!</definedName>
    <definedName name="RRR">#REF!</definedName>
    <definedName name="RRRRR" localSheetId="1">#REF!</definedName>
    <definedName name="RRRRR" localSheetId="0">#REF!</definedName>
    <definedName name="RRRRR">#REF!</definedName>
    <definedName name="sho" localSheetId="1">#REF!</definedName>
    <definedName name="sho" localSheetId="0">#REF!</definedName>
    <definedName name="sho">#REF!</definedName>
    <definedName name="Tesarski" localSheetId="1">#REF!</definedName>
    <definedName name="Tesarski" localSheetId="0">#REF!</definedName>
    <definedName name="Tesarski">#REF!</definedName>
    <definedName name="vho" localSheetId="1">#REF!</definedName>
    <definedName name="vho" localSheetId="0">#REF!</definedName>
    <definedName name="vho">#REF!</definedName>
    <definedName name="Zemljani" localSheetId="1">#REF!</definedName>
    <definedName name="Zemljani" localSheetId="0">#REF!</definedName>
    <definedName name="Zemljan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0" i="1" l="1"/>
  <c r="D378" i="1" l="1"/>
  <c r="F203" i="2"/>
  <c r="F202" i="2"/>
  <c r="F174" i="2"/>
  <c r="F173" i="2"/>
  <c r="F172" i="2"/>
  <c r="F168" i="2"/>
  <c r="F167" i="2"/>
  <c r="F166" i="2"/>
  <c r="F162" i="2"/>
  <c r="F161" i="2"/>
  <c r="F160" i="2"/>
  <c r="F156" i="2"/>
  <c r="F155" i="2"/>
  <c r="F154" i="2"/>
  <c r="F150" i="2"/>
  <c r="F149" i="2"/>
  <c r="F176" i="2" s="1"/>
  <c r="F98" i="2"/>
  <c r="F46" i="2"/>
  <c r="F17" i="2"/>
  <c r="F16" i="2"/>
  <c r="F15" i="2"/>
  <c r="F11" i="2"/>
  <c r="F10" i="2"/>
  <c r="F21" i="2" s="1"/>
  <c r="F1284" i="1"/>
  <c r="F1283" i="1"/>
  <c r="F1282" i="1"/>
  <c r="F1281" i="1"/>
  <c r="F1278" i="1"/>
  <c r="F1277" i="1"/>
  <c r="F1276" i="1"/>
  <c r="F1275" i="1"/>
  <c r="F1287" i="1" s="1"/>
  <c r="F1331" i="1" s="1"/>
  <c r="F1272" i="1"/>
  <c r="F1271" i="1"/>
  <c r="F1270" i="1"/>
  <c r="F1269" i="1"/>
  <c r="F1222" i="1"/>
  <c r="F1221" i="1"/>
  <c r="F1226" i="1" s="1"/>
  <c r="F1171" i="1"/>
  <c r="F1140" i="1"/>
  <c r="F1137" i="1"/>
  <c r="F1139" i="1"/>
  <c r="F1138" i="1"/>
  <c r="F1099" i="1"/>
  <c r="F1096" i="1"/>
  <c r="F1072" i="1"/>
  <c r="F908" i="1"/>
  <c r="F914" i="1"/>
  <c r="F920" i="1"/>
  <c r="F571" i="1"/>
  <c r="F600" i="1"/>
  <c r="F601" i="1"/>
  <c r="F831" i="1"/>
  <c r="F832" i="1"/>
  <c r="F842" i="1"/>
  <c r="F843" i="1"/>
  <c r="F844" i="1"/>
  <c r="F850" i="1"/>
  <c r="F851" i="1"/>
  <c r="F497" i="1"/>
  <c r="F481" i="1"/>
  <c r="F451" i="1"/>
  <c r="F17" i="1"/>
  <c r="F18" i="1"/>
  <c r="F19" i="1"/>
  <c r="F20" i="1"/>
  <c r="F21" i="1"/>
  <c r="F25" i="1"/>
  <c r="F26" i="1"/>
  <c r="F27" i="1"/>
  <c r="F28" i="1"/>
  <c r="F29" i="1"/>
  <c r="F30" i="1"/>
  <c r="F34" i="1"/>
  <c r="F35" i="1"/>
  <c r="F36" i="1"/>
  <c r="F40" i="1"/>
  <c r="F41" i="1"/>
  <c r="F42" i="1"/>
  <c r="F46" i="1"/>
  <c r="F47" i="1"/>
  <c r="F48" i="1"/>
  <c r="F52" i="1"/>
  <c r="F53" i="1"/>
  <c r="F54" i="1"/>
  <c r="F58" i="1"/>
  <c r="F59" i="1"/>
  <c r="F60" i="1"/>
  <c r="F65" i="1"/>
  <c r="F66" i="1"/>
  <c r="F67" i="1"/>
  <c r="F70" i="1"/>
  <c r="F71" i="1"/>
  <c r="F72" i="1"/>
  <c r="F73" i="1"/>
  <c r="F74" i="1"/>
  <c r="F75" i="1"/>
  <c r="F76" i="1"/>
  <c r="F77" i="1"/>
  <c r="F78" i="1"/>
  <c r="F82" i="1"/>
  <c r="F329" i="1"/>
  <c r="F360" i="1"/>
  <c r="F361" i="1"/>
  <c r="F362" i="1"/>
  <c r="F366" i="1"/>
  <c r="F367" i="1"/>
  <c r="F372" i="1"/>
  <c r="F420" i="1"/>
  <c r="F442" i="1"/>
  <c r="F443" i="1"/>
  <c r="F444" i="1"/>
  <c r="F445" i="1"/>
  <c r="F447" i="1"/>
  <c r="F448" i="1"/>
  <c r="F449" i="1"/>
  <c r="F450" i="1"/>
  <c r="F16" i="1"/>
  <c r="D373" i="1"/>
  <c r="D369" i="1"/>
  <c r="F369" i="1" s="1"/>
  <c r="D368" i="1"/>
  <c r="F368" i="1" s="1"/>
  <c r="D366" i="1"/>
  <c r="D362" i="1"/>
  <c r="D363" i="1" s="1"/>
  <c r="F363" i="1" s="1"/>
  <c r="D374" i="1" l="1"/>
  <c r="F374" i="1" s="1"/>
  <c r="F373" i="1"/>
  <c r="F233" i="2"/>
  <c r="F48" i="2"/>
  <c r="F235" i="2" s="1"/>
  <c r="F100" i="2"/>
  <c r="F237" i="2" s="1"/>
  <c r="F217" i="2"/>
  <c r="F218" i="2"/>
  <c r="F219" i="2"/>
  <c r="F216" i="2"/>
  <c r="D200" i="2"/>
  <c r="F200" i="2" s="1"/>
  <c r="D199" i="2"/>
  <c r="F199" i="2" s="1"/>
  <c r="D198" i="2"/>
  <c r="F198" i="2" s="1"/>
  <c r="D197" i="2"/>
  <c r="F197" i="2" s="1"/>
  <c r="D195" i="2"/>
  <c r="F195" i="2" s="1"/>
  <c r="D194" i="2"/>
  <c r="F194" i="2" s="1"/>
  <c r="D193" i="2"/>
  <c r="F193" i="2" s="1"/>
  <c r="H155" i="2"/>
  <c r="H150" i="2"/>
  <c r="J1345" i="1"/>
  <c r="J1346" i="1" s="1"/>
  <c r="D1172" i="1"/>
  <c r="F1172" i="1" s="1"/>
  <c r="F1175" i="1" s="1"/>
  <c r="D1147" i="1"/>
  <c r="F1147" i="1" s="1"/>
  <c r="D1146" i="1"/>
  <c r="F1146" i="1" s="1"/>
  <c r="D1145" i="1"/>
  <c r="F1145" i="1" s="1"/>
  <c r="D1144" i="1"/>
  <c r="F1144" i="1" s="1"/>
  <c r="D1133" i="1"/>
  <c r="F1133" i="1" s="1"/>
  <c r="G1099" i="1"/>
  <c r="D1098" i="1"/>
  <c r="F1098" i="1" s="1"/>
  <c r="G1097" i="1"/>
  <c r="D1097" i="1"/>
  <c r="F1097" i="1" s="1"/>
  <c r="F1103" i="1" s="1"/>
  <c r="D1068" i="1"/>
  <c r="D1065" i="1"/>
  <c r="D1061" i="1"/>
  <c r="F1061" i="1" s="1"/>
  <c r="G1059" i="1"/>
  <c r="D1059" i="1"/>
  <c r="F1059" i="1" s="1"/>
  <c r="D1054" i="1"/>
  <c r="F1054" i="1" s="1"/>
  <c r="D1051" i="1"/>
  <c r="F1051" i="1" s="1"/>
  <c r="D1047" i="1"/>
  <c r="F1047" i="1" s="1"/>
  <c r="D1044" i="1"/>
  <c r="F1044" i="1" s="1"/>
  <c r="D1041" i="1"/>
  <c r="F1041" i="1" s="1"/>
  <c r="D1038" i="1"/>
  <c r="F1038" i="1" s="1"/>
  <c r="D1035" i="1"/>
  <c r="F1035" i="1" s="1"/>
  <c r="D1027" i="1"/>
  <c r="F1027" i="1" s="1"/>
  <c r="H1024" i="1"/>
  <c r="D1024" i="1"/>
  <c r="F1024" i="1" s="1"/>
  <c r="D1021" i="1"/>
  <c r="F1021" i="1" s="1"/>
  <c r="D1018" i="1"/>
  <c r="F1018" i="1" s="1"/>
  <c r="G1015" i="1"/>
  <c r="D1015" i="1"/>
  <c r="F1015" i="1" s="1"/>
  <c r="D1011" i="1"/>
  <c r="F1011" i="1" s="1"/>
  <c r="D1008" i="1"/>
  <c r="F1008" i="1" s="1"/>
  <c r="D1001" i="1"/>
  <c r="F1001" i="1" s="1"/>
  <c r="D998" i="1"/>
  <c r="F998" i="1" s="1"/>
  <c r="D995" i="1"/>
  <c r="F995" i="1" s="1"/>
  <c r="D989" i="1"/>
  <c r="F989" i="1" s="1"/>
  <c r="H986" i="1"/>
  <c r="D986" i="1"/>
  <c r="F986" i="1" s="1"/>
  <c r="D983" i="1"/>
  <c r="F983" i="1" s="1"/>
  <c r="D980" i="1"/>
  <c r="F980" i="1" s="1"/>
  <c r="H977" i="1"/>
  <c r="D977" i="1"/>
  <c r="F977" i="1" s="1"/>
  <c r="D971" i="1"/>
  <c r="F971" i="1" s="1"/>
  <c r="D959" i="1"/>
  <c r="D953" i="1"/>
  <c r="D947" i="1"/>
  <c r="D940" i="1"/>
  <c r="D934" i="1"/>
  <c r="D928" i="1"/>
  <c r="D921" i="1"/>
  <c r="D915" i="1"/>
  <c r="D909" i="1"/>
  <c r="D905" i="1"/>
  <c r="F905" i="1" s="1"/>
  <c r="D903" i="1"/>
  <c r="G900" i="1"/>
  <c r="D900" i="1"/>
  <c r="F900" i="1" s="1"/>
  <c r="D853" i="1"/>
  <c r="F853" i="1" s="1"/>
  <c r="D852" i="1"/>
  <c r="F852" i="1" s="1"/>
  <c r="D846" i="1"/>
  <c r="F846" i="1" s="1"/>
  <c r="D845" i="1"/>
  <c r="F845" i="1" s="1"/>
  <c r="D839" i="1"/>
  <c r="F839" i="1" s="1"/>
  <c r="D836" i="1"/>
  <c r="F836" i="1" s="1"/>
  <c r="D835" i="1"/>
  <c r="F835" i="1" s="1"/>
  <c r="D834" i="1"/>
  <c r="F834" i="1" s="1"/>
  <c r="D833" i="1"/>
  <c r="F833" i="1" s="1"/>
  <c r="D829" i="1"/>
  <c r="F829" i="1" s="1"/>
  <c r="D828" i="1"/>
  <c r="F828" i="1" s="1"/>
  <c r="D827" i="1"/>
  <c r="F827" i="1" s="1"/>
  <c r="D826" i="1"/>
  <c r="F826" i="1" s="1"/>
  <c r="D823" i="1"/>
  <c r="F823" i="1" s="1"/>
  <c r="D820" i="1"/>
  <c r="F820" i="1" s="1"/>
  <c r="D819" i="1"/>
  <c r="F819" i="1" s="1"/>
  <c r="D818" i="1"/>
  <c r="F818" i="1" s="1"/>
  <c r="D817" i="1"/>
  <c r="F817" i="1" s="1"/>
  <c r="D814" i="1"/>
  <c r="F814" i="1" s="1"/>
  <c r="D810" i="1"/>
  <c r="F810" i="1" s="1"/>
  <c r="D809" i="1"/>
  <c r="F809" i="1" s="1"/>
  <c r="D808" i="1"/>
  <c r="F808" i="1" s="1"/>
  <c r="D807" i="1"/>
  <c r="F807" i="1" s="1"/>
  <c r="D804" i="1"/>
  <c r="F804" i="1" s="1"/>
  <c r="D800" i="1"/>
  <c r="F800" i="1" s="1"/>
  <c r="D799" i="1"/>
  <c r="F799" i="1" s="1"/>
  <c r="D798" i="1"/>
  <c r="F798" i="1" s="1"/>
  <c r="D797" i="1"/>
  <c r="F797" i="1" s="1"/>
  <c r="D794" i="1"/>
  <c r="F794" i="1" s="1"/>
  <c r="D791" i="1"/>
  <c r="F791" i="1" s="1"/>
  <c r="D790" i="1"/>
  <c r="F790" i="1" s="1"/>
  <c r="D789" i="1"/>
  <c r="F789" i="1" s="1"/>
  <c r="D788" i="1"/>
  <c r="F788" i="1" s="1"/>
  <c r="D780" i="1"/>
  <c r="F780" i="1" s="1"/>
  <c r="D775" i="1"/>
  <c r="F775" i="1" s="1"/>
  <c r="D774" i="1"/>
  <c r="F774" i="1" s="1"/>
  <c r="D773" i="1"/>
  <c r="F773" i="1" s="1"/>
  <c r="D771" i="1"/>
  <c r="F771" i="1" s="1"/>
  <c r="D770" i="1"/>
  <c r="F770" i="1" s="1"/>
  <c r="D769" i="1"/>
  <c r="F769" i="1" s="1"/>
  <c r="D766" i="1"/>
  <c r="F766" i="1" s="1"/>
  <c r="D765" i="1"/>
  <c r="F765" i="1" s="1"/>
  <c r="D764" i="1"/>
  <c r="F764" i="1" s="1"/>
  <c r="D761" i="1"/>
  <c r="F761" i="1" s="1"/>
  <c r="D760" i="1"/>
  <c r="F760" i="1" s="1"/>
  <c r="D759" i="1"/>
  <c r="F759" i="1" s="1"/>
  <c r="D757" i="1"/>
  <c r="F757" i="1" s="1"/>
  <c r="D756" i="1"/>
  <c r="F756" i="1" s="1"/>
  <c r="D755" i="1"/>
  <c r="F755" i="1" s="1"/>
  <c r="D753" i="1"/>
  <c r="F753" i="1" s="1"/>
  <c r="D752" i="1"/>
  <c r="F752" i="1" s="1"/>
  <c r="D751" i="1"/>
  <c r="F751" i="1" s="1"/>
  <c r="D748" i="1"/>
  <c r="F748" i="1" s="1"/>
  <c r="D747" i="1"/>
  <c r="F747" i="1" s="1"/>
  <c r="D746" i="1"/>
  <c r="F746" i="1" s="1"/>
  <c r="D744" i="1"/>
  <c r="F744" i="1" s="1"/>
  <c r="D743" i="1"/>
  <c r="F743" i="1" s="1"/>
  <c r="D742" i="1"/>
  <c r="F742" i="1" s="1"/>
  <c r="D740" i="1"/>
  <c r="F740" i="1" s="1"/>
  <c r="D739" i="1"/>
  <c r="F739" i="1" s="1"/>
  <c r="D738" i="1"/>
  <c r="F738" i="1" s="1"/>
  <c r="D734" i="1"/>
  <c r="F734" i="1" s="1"/>
  <c r="D733" i="1"/>
  <c r="F733" i="1" s="1"/>
  <c r="D732" i="1"/>
  <c r="F732" i="1" s="1"/>
  <c r="D731" i="1"/>
  <c r="F731" i="1" s="1"/>
  <c r="D730" i="1"/>
  <c r="F730" i="1" s="1"/>
  <c r="D728" i="1"/>
  <c r="F728" i="1" s="1"/>
  <c r="D727" i="1"/>
  <c r="F727" i="1" s="1"/>
  <c r="D726" i="1"/>
  <c r="F726" i="1" s="1"/>
  <c r="D725" i="1"/>
  <c r="F725" i="1" s="1"/>
  <c r="D724" i="1"/>
  <c r="F724" i="1" s="1"/>
  <c r="D721" i="1"/>
  <c r="F721" i="1" s="1"/>
  <c r="D720" i="1"/>
  <c r="F720" i="1" s="1"/>
  <c r="D719" i="1"/>
  <c r="F719" i="1" s="1"/>
  <c r="D718" i="1"/>
  <c r="F718" i="1" s="1"/>
  <c r="D717" i="1"/>
  <c r="F717" i="1" s="1"/>
  <c r="D714" i="1"/>
  <c r="F714" i="1" s="1"/>
  <c r="D713" i="1"/>
  <c r="F713" i="1" s="1"/>
  <c r="D712" i="1"/>
  <c r="F712" i="1" s="1"/>
  <c r="D711" i="1"/>
  <c r="F711" i="1" s="1"/>
  <c r="D710" i="1"/>
  <c r="F710" i="1" s="1"/>
  <c r="D707" i="1"/>
  <c r="F707" i="1" s="1"/>
  <c r="D706" i="1"/>
  <c r="F706" i="1" s="1"/>
  <c r="D705" i="1"/>
  <c r="F705" i="1" s="1"/>
  <c r="D704" i="1"/>
  <c r="F704" i="1" s="1"/>
  <c r="D703" i="1"/>
  <c r="F703" i="1" s="1"/>
  <c r="D700" i="1"/>
  <c r="F700" i="1" s="1"/>
  <c r="D699" i="1"/>
  <c r="F699" i="1" s="1"/>
  <c r="D698" i="1"/>
  <c r="F698" i="1" s="1"/>
  <c r="D697" i="1"/>
  <c r="F697" i="1" s="1"/>
  <c r="D696" i="1"/>
  <c r="F696" i="1" s="1"/>
  <c r="D695" i="1"/>
  <c r="F695" i="1" s="1"/>
  <c r="D692" i="1"/>
  <c r="F692" i="1" s="1"/>
  <c r="D691" i="1"/>
  <c r="F691" i="1" s="1"/>
  <c r="D690" i="1"/>
  <c r="F690" i="1" s="1"/>
  <c r="D689" i="1"/>
  <c r="F689" i="1" s="1"/>
  <c r="D688" i="1"/>
  <c r="F688" i="1" s="1"/>
  <c r="D685" i="1"/>
  <c r="F685" i="1" s="1"/>
  <c r="D684" i="1"/>
  <c r="F684" i="1" s="1"/>
  <c r="D683" i="1"/>
  <c r="F683" i="1" s="1"/>
  <c r="D682" i="1"/>
  <c r="F682" i="1" s="1"/>
  <c r="D681" i="1"/>
  <c r="F681" i="1" s="1"/>
  <c r="D680" i="1"/>
  <c r="F680" i="1" s="1"/>
  <c r="D677" i="1"/>
  <c r="F677" i="1" s="1"/>
  <c r="D676" i="1"/>
  <c r="F676" i="1" s="1"/>
  <c r="D675" i="1"/>
  <c r="F675" i="1" s="1"/>
  <c r="D674" i="1"/>
  <c r="F674" i="1" s="1"/>
  <c r="D673" i="1"/>
  <c r="F673" i="1" s="1"/>
  <c r="D672" i="1"/>
  <c r="F672" i="1" s="1"/>
  <c r="H668" i="1"/>
  <c r="D668" i="1"/>
  <c r="F668" i="1" s="1"/>
  <c r="D667" i="1"/>
  <c r="F667" i="1" s="1"/>
  <c r="D666" i="1"/>
  <c r="F666" i="1" s="1"/>
  <c r="D665" i="1"/>
  <c r="F665" i="1" s="1"/>
  <c r="D664" i="1"/>
  <c r="F664" i="1" s="1"/>
  <c r="H661" i="1"/>
  <c r="D661" i="1"/>
  <c r="F661" i="1" s="1"/>
  <c r="D660" i="1"/>
  <c r="F660" i="1" s="1"/>
  <c r="D659" i="1"/>
  <c r="F659" i="1" s="1"/>
  <c r="D658" i="1"/>
  <c r="F658" i="1" s="1"/>
  <c r="D657" i="1"/>
  <c r="F657" i="1" s="1"/>
  <c r="H654" i="1"/>
  <c r="D654" i="1"/>
  <c r="F654" i="1" s="1"/>
  <c r="D653" i="1"/>
  <c r="F653" i="1" s="1"/>
  <c r="D652" i="1"/>
  <c r="F652" i="1" s="1"/>
  <c r="D651" i="1"/>
  <c r="F651" i="1" s="1"/>
  <c r="D650" i="1"/>
  <c r="F650" i="1" s="1"/>
  <c r="H647" i="1"/>
  <c r="D647" i="1"/>
  <c r="F647" i="1" s="1"/>
  <c r="D646" i="1"/>
  <c r="F646" i="1" s="1"/>
  <c r="D645" i="1"/>
  <c r="F645" i="1" s="1"/>
  <c r="D644" i="1"/>
  <c r="F644" i="1" s="1"/>
  <c r="D643" i="1"/>
  <c r="F643" i="1" s="1"/>
  <c r="H640" i="1"/>
  <c r="D640" i="1"/>
  <c r="F640" i="1" s="1"/>
  <c r="D639" i="1"/>
  <c r="F639" i="1" s="1"/>
  <c r="D638" i="1"/>
  <c r="F638" i="1" s="1"/>
  <c r="D637" i="1"/>
  <c r="F637" i="1" s="1"/>
  <c r="D636" i="1"/>
  <c r="F636" i="1" s="1"/>
  <c r="H633" i="1"/>
  <c r="D633" i="1"/>
  <c r="F633" i="1" s="1"/>
  <c r="D632" i="1"/>
  <c r="F632" i="1" s="1"/>
  <c r="D631" i="1"/>
  <c r="F631" i="1" s="1"/>
  <c r="D630" i="1"/>
  <c r="F630" i="1" s="1"/>
  <c r="D629" i="1"/>
  <c r="F629" i="1" s="1"/>
  <c r="D628" i="1"/>
  <c r="F628" i="1" s="1"/>
  <c r="H623" i="1"/>
  <c r="D623" i="1"/>
  <c r="F623" i="1" s="1"/>
  <c r="D622" i="1"/>
  <c r="F622" i="1" s="1"/>
  <c r="D621" i="1"/>
  <c r="F621" i="1" s="1"/>
  <c r="D620" i="1"/>
  <c r="F620" i="1" s="1"/>
  <c r="D619" i="1"/>
  <c r="F619" i="1" s="1"/>
  <c r="H616" i="1"/>
  <c r="D616" i="1"/>
  <c r="F616" i="1" s="1"/>
  <c r="D615" i="1"/>
  <c r="F615" i="1" s="1"/>
  <c r="D614" i="1"/>
  <c r="F614" i="1" s="1"/>
  <c r="D613" i="1"/>
  <c r="F613" i="1" s="1"/>
  <c r="D612" i="1"/>
  <c r="F612" i="1" s="1"/>
  <c r="D611" i="1"/>
  <c r="F611" i="1" s="1"/>
  <c r="H608" i="1"/>
  <c r="D608" i="1"/>
  <c r="F608" i="1" s="1"/>
  <c r="D607" i="1"/>
  <c r="F607" i="1" s="1"/>
  <c r="D606" i="1"/>
  <c r="F606" i="1" s="1"/>
  <c r="D605" i="1"/>
  <c r="F605" i="1" s="1"/>
  <c r="D604" i="1"/>
  <c r="F604" i="1" s="1"/>
  <c r="D603" i="1"/>
  <c r="F603" i="1" s="1"/>
  <c r="D597" i="1"/>
  <c r="F597" i="1" s="1"/>
  <c r="D596" i="1"/>
  <c r="F596" i="1" s="1"/>
  <c r="D593" i="1"/>
  <c r="F593" i="1" s="1"/>
  <c r="D592" i="1"/>
  <c r="F592" i="1" s="1"/>
  <c r="D589" i="1"/>
  <c r="F589" i="1" s="1"/>
  <c r="D588" i="1"/>
  <c r="F588" i="1" s="1"/>
  <c r="D585" i="1"/>
  <c r="F585" i="1" s="1"/>
  <c r="D584" i="1"/>
  <c r="F584" i="1" s="1"/>
  <c r="D581" i="1"/>
  <c r="F581" i="1" s="1"/>
  <c r="D580" i="1"/>
  <c r="F580" i="1" s="1"/>
  <c r="D577" i="1"/>
  <c r="F577" i="1" s="1"/>
  <c r="D576" i="1"/>
  <c r="F576" i="1" s="1"/>
  <c r="D573" i="1"/>
  <c r="F573" i="1" s="1"/>
  <c r="D572" i="1"/>
  <c r="F572" i="1" s="1"/>
  <c r="D569" i="1"/>
  <c r="F569" i="1" s="1"/>
  <c r="D568" i="1"/>
  <c r="F568" i="1" s="1"/>
  <c r="D565" i="1"/>
  <c r="F565" i="1" s="1"/>
  <c r="D564" i="1"/>
  <c r="F564" i="1" s="1"/>
  <c r="D506" i="1"/>
  <c r="F506" i="1" s="1"/>
  <c r="D494" i="1"/>
  <c r="F494" i="1" s="1"/>
  <c r="D493" i="1"/>
  <c r="F493" i="1" s="1"/>
  <c r="D492" i="1"/>
  <c r="F492" i="1" s="1"/>
  <c r="D491" i="1"/>
  <c r="F491" i="1" s="1"/>
  <c r="D490" i="1"/>
  <c r="F490" i="1" s="1"/>
  <c r="D489" i="1"/>
  <c r="F489" i="1" s="1"/>
  <c r="D488" i="1"/>
  <c r="F488" i="1" s="1"/>
  <c r="D487" i="1"/>
  <c r="F487" i="1" s="1"/>
  <c r="D486" i="1"/>
  <c r="F486" i="1" s="1"/>
  <c r="D483" i="1"/>
  <c r="F483" i="1" s="1"/>
  <c r="D441" i="1"/>
  <c r="F441" i="1" s="1"/>
  <c r="D434" i="1"/>
  <c r="D433" i="1"/>
  <c r="D432" i="1"/>
  <c r="D431" i="1"/>
  <c r="D435" i="1" s="1"/>
  <c r="D426" i="1"/>
  <c r="F426" i="1" s="1"/>
  <c r="D425" i="1"/>
  <c r="F425" i="1" s="1"/>
  <c r="D424" i="1"/>
  <c r="F424" i="1" s="1"/>
  <c r="D423" i="1"/>
  <c r="F423" i="1" s="1"/>
  <c r="D417" i="1"/>
  <c r="F417" i="1" s="1"/>
  <c r="D416" i="1"/>
  <c r="F416" i="1" s="1"/>
  <c r="D415" i="1"/>
  <c r="F415" i="1" s="1"/>
  <c r="D414" i="1"/>
  <c r="F414" i="1" s="1"/>
  <c r="D411" i="1"/>
  <c r="F411" i="1" s="1"/>
  <c r="D406" i="1"/>
  <c r="D405" i="1"/>
  <c r="D404" i="1"/>
  <c r="D403" i="1"/>
  <c r="D400" i="1"/>
  <c r="D379" i="1"/>
  <c r="D354" i="1"/>
  <c r="I347" i="1"/>
  <c r="H347" i="1"/>
  <c r="D347" i="1"/>
  <c r="D344" i="1"/>
  <c r="F344" i="1" s="1"/>
  <c r="D343" i="1"/>
  <c r="F343" i="1" s="1"/>
  <c r="D342" i="1"/>
  <c r="F342" i="1" s="1"/>
  <c r="D339" i="1"/>
  <c r="F339" i="1" s="1"/>
  <c r="D338" i="1"/>
  <c r="F338" i="1" s="1"/>
  <c r="D337" i="1"/>
  <c r="F337" i="1" s="1"/>
  <c r="D334" i="1"/>
  <c r="F334" i="1" s="1"/>
  <c r="D333" i="1"/>
  <c r="F333" i="1" s="1"/>
  <c r="D332" i="1"/>
  <c r="F332" i="1" s="1"/>
  <c r="D328" i="1"/>
  <c r="F328" i="1" s="1"/>
  <c r="D327" i="1"/>
  <c r="F327" i="1" s="1"/>
  <c r="D326" i="1"/>
  <c r="F326" i="1" s="1"/>
  <c r="D323" i="1"/>
  <c r="F323" i="1" s="1"/>
  <c r="D322" i="1"/>
  <c r="F322" i="1" s="1"/>
  <c r="D321" i="1"/>
  <c r="F321" i="1" s="1"/>
  <c r="D318" i="1"/>
  <c r="F318" i="1" s="1"/>
  <c r="D317" i="1"/>
  <c r="F317" i="1" s="1"/>
  <c r="D316" i="1"/>
  <c r="F316" i="1" s="1"/>
  <c r="D309" i="1"/>
  <c r="D308" i="1"/>
  <c r="D307" i="1"/>
  <c r="D304" i="1"/>
  <c r="D303" i="1"/>
  <c r="D302" i="1"/>
  <c r="D299" i="1"/>
  <c r="D298" i="1"/>
  <c r="D297" i="1"/>
  <c r="D221" i="1"/>
  <c r="D220" i="1"/>
  <c r="D219" i="1"/>
  <c r="D218" i="1"/>
  <c r="D217" i="1"/>
  <c r="D214" i="1"/>
  <c r="D213" i="1"/>
  <c r="D212" i="1"/>
  <c r="D211" i="1"/>
  <c r="D210" i="1"/>
  <c r="D207" i="1"/>
  <c r="D206" i="1"/>
  <c r="D205" i="1"/>
  <c r="D204" i="1"/>
  <c r="D203" i="1"/>
  <c r="D200" i="1"/>
  <c r="D199" i="1"/>
  <c r="D198" i="1"/>
  <c r="D197" i="1"/>
  <c r="D196" i="1"/>
  <c r="D192" i="1"/>
  <c r="D191" i="1"/>
  <c r="D190" i="1"/>
  <c r="D189" i="1"/>
  <c r="D188" i="1"/>
  <c r="D185" i="1"/>
  <c r="D184" i="1"/>
  <c r="D183" i="1"/>
  <c r="D182" i="1"/>
  <c r="D181" i="1"/>
  <c r="D180" i="1"/>
  <c r="D177" i="1"/>
  <c r="D176" i="1"/>
  <c r="D175" i="1"/>
  <c r="D174" i="1"/>
  <c r="D173" i="1"/>
  <c r="D170" i="1"/>
  <c r="D169" i="1"/>
  <c r="D168" i="1"/>
  <c r="D167" i="1"/>
  <c r="D166" i="1"/>
  <c r="D165" i="1"/>
  <c r="D162" i="1"/>
  <c r="D161" i="1"/>
  <c r="D160" i="1"/>
  <c r="D159" i="1"/>
  <c r="D158" i="1"/>
  <c r="D157" i="1"/>
  <c r="H151" i="1"/>
  <c r="D151" i="1"/>
  <c r="D150" i="1"/>
  <c r="D149" i="1"/>
  <c r="D148" i="1"/>
  <c r="D147" i="1"/>
  <c r="H144" i="1"/>
  <c r="D144" i="1"/>
  <c r="D143" i="1"/>
  <c r="D142" i="1"/>
  <c r="D141" i="1"/>
  <c r="D140" i="1"/>
  <c r="H137" i="1"/>
  <c r="D137" i="1"/>
  <c r="D136" i="1"/>
  <c r="D135" i="1"/>
  <c r="D134" i="1"/>
  <c r="D133" i="1"/>
  <c r="H130" i="1"/>
  <c r="D130" i="1"/>
  <c r="D129" i="1"/>
  <c r="D128" i="1"/>
  <c r="D127" i="1"/>
  <c r="D126" i="1"/>
  <c r="H123" i="1"/>
  <c r="D123" i="1"/>
  <c r="D122" i="1"/>
  <c r="D121" i="1"/>
  <c r="D120" i="1"/>
  <c r="D119" i="1"/>
  <c r="H116" i="1"/>
  <c r="D116" i="1"/>
  <c r="D115" i="1"/>
  <c r="D114" i="1"/>
  <c r="D113" i="1"/>
  <c r="D112" i="1"/>
  <c r="D111" i="1"/>
  <c r="H108" i="1"/>
  <c r="D108" i="1"/>
  <c r="D107" i="1"/>
  <c r="D106" i="1"/>
  <c r="D105" i="1"/>
  <c r="D104" i="1"/>
  <c r="H101" i="1"/>
  <c r="D101" i="1"/>
  <c r="D100" i="1"/>
  <c r="D99" i="1"/>
  <c r="D98" i="1"/>
  <c r="D97" i="1"/>
  <c r="D96" i="1"/>
  <c r="H94" i="1"/>
  <c r="D94" i="1"/>
  <c r="D93" i="1"/>
  <c r="D92" i="1"/>
  <c r="D91" i="1"/>
  <c r="D90" i="1"/>
  <c r="D89" i="1"/>
  <c r="D81" i="1"/>
  <c r="F81" i="1" s="1"/>
  <c r="D253" i="1" l="1"/>
  <c r="F253" i="1" s="1"/>
  <c r="F185" i="1"/>
  <c r="D152" i="1"/>
  <c r="F152" i="1" s="1"/>
  <c r="D234" i="1"/>
  <c r="F234" i="1" s="1"/>
  <c r="F166" i="1"/>
  <c r="D244" i="1"/>
  <c r="F244" i="1" s="1"/>
  <c r="F176" i="1"/>
  <c r="D256" i="1"/>
  <c r="F256" i="1" s="1"/>
  <c r="F188" i="1"/>
  <c r="D266" i="1"/>
  <c r="F266" i="1" s="1"/>
  <c r="F199" i="1"/>
  <c r="D278" i="1"/>
  <c r="F278" i="1" s="1"/>
  <c r="F211" i="1"/>
  <c r="D288" i="1"/>
  <c r="F288" i="1" s="1"/>
  <c r="F221" i="1"/>
  <c r="D941" i="1"/>
  <c r="F941" i="1" s="1"/>
  <c r="F940" i="1"/>
  <c r="F1150" i="1"/>
  <c r="D251" i="1"/>
  <c r="F251" i="1" s="1"/>
  <c r="F183" i="1"/>
  <c r="D285" i="1"/>
  <c r="F285" i="1" s="1"/>
  <c r="F218" i="1"/>
  <c r="D922" i="1"/>
  <c r="F922" i="1" s="1"/>
  <c r="F921" i="1"/>
  <c r="D230" i="1"/>
  <c r="F230" i="1" s="1"/>
  <c r="F162" i="1"/>
  <c r="D242" i="1"/>
  <c r="F242" i="1" s="1"/>
  <c r="F174" i="1"/>
  <c r="D274" i="1"/>
  <c r="F274" i="1" s="1"/>
  <c r="F207" i="1"/>
  <c r="D265" i="1"/>
  <c r="F265" i="1" s="1"/>
  <c r="F198" i="1"/>
  <c r="F435" i="1"/>
  <c r="D437" i="1"/>
  <c r="F437" i="1" s="1"/>
  <c r="D935" i="1"/>
  <c r="F934" i="1"/>
  <c r="D225" i="1"/>
  <c r="F225" i="1" s="1"/>
  <c r="F157" i="1"/>
  <c r="D235" i="1"/>
  <c r="F235" i="1" s="1"/>
  <c r="F167" i="1"/>
  <c r="D245" i="1"/>
  <c r="F245" i="1" s="1"/>
  <c r="F177" i="1"/>
  <c r="D257" i="1"/>
  <c r="F257" i="1" s="1"/>
  <c r="F189" i="1"/>
  <c r="D267" i="1"/>
  <c r="F267" i="1" s="1"/>
  <c r="F200" i="1"/>
  <c r="D279" i="1"/>
  <c r="F279" i="1" s="1"/>
  <c r="F212" i="1"/>
  <c r="D310" i="1"/>
  <c r="D407" i="1"/>
  <c r="D904" i="1"/>
  <c r="F904" i="1" s="1"/>
  <c r="F903" i="1"/>
  <c r="D948" i="1"/>
  <c r="F948" i="1" s="1"/>
  <c r="F947" i="1"/>
  <c r="F206" i="2"/>
  <c r="F241" i="2" s="1"/>
  <c r="D241" i="1"/>
  <c r="F241" i="1" s="1"/>
  <c r="F173" i="1"/>
  <c r="D263" i="1"/>
  <c r="F263" i="1" s="1"/>
  <c r="F196" i="1"/>
  <c r="D252" i="1"/>
  <c r="F252" i="1" s="1"/>
  <c r="F184" i="1"/>
  <c r="D929" i="1"/>
  <c r="F928" i="1"/>
  <c r="D233" i="1"/>
  <c r="F233" i="1" s="1"/>
  <c r="F165" i="1"/>
  <c r="G564" i="1"/>
  <c r="H564" i="1"/>
  <c r="F856" i="1"/>
  <c r="F1319" i="1" s="1"/>
  <c r="D226" i="1"/>
  <c r="F226" i="1" s="1"/>
  <c r="F158" i="1"/>
  <c r="D236" i="1"/>
  <c r="F236" i="1" s="1"/>
  <c r="F168" i="1"/>
  <c r="D248" i="1"/>
  <c r="F248" i="1" s="1"/>
  <c r="F180" i="1"/>
  <c r="D258" i="1"/>
  <c r="F258" i="1" s="1"/>
  <c r="F190" i="1"/>
  <c r="D270" i="1"/>
  <c r="F270" i="1" s="1"/>
  <c r="F203" i="1"/>
  <c r="D280" i="1"/>
  <c r="F280" i="1" s="1"/>
  <c r="F213" i="1"/>
  <c r="D954" i="1"/>
  <c r="F954" i="1" s="1"/>
  <c r="F953" i="1"/>
  <c r="D1066" i="1"/>
  <c r="F1066" i="1" s="1"/>
  <c r="F1065" i="1"/>
  <c r="D229" i="1"/>
  <c r="F229" i="1" s="1"/>
  <c r="F161" i="1"/>
  <c r="D273" i="1"/>
  <c r="F273" i="1" s="1"/>
  <c r="F206" i="1"/>
  <c r="D286" i="1"/>
  <c r="F286" i="1" s="1"/>
  <c r="F219" i="1"/>
  <c r="D243" i="1"/>
  <c r="F243" i="1" s="1"/>
  <c r="F175" i="1"/>
  <c r="D287" i="1"/>
  <c r="F287" i="1" s="1"/>
  <c r="F220" i="1"/>
  <c r="D356" i="1"/>
  <c r="F356" i="1" s="1"/>
  <c r="D355" i="1"/>
  <c r="F355" i="1" s="1"/>
  <c r="D227" i="1"/>
  <c r="F227" i="1" s="1"/>
  <c r="F159" i="1"/>
  <c r="D237" i="1"/>
  <c r="F237" i="1" s="1"/>
  <c r="F169" i="1"/>
  <c r="D249" i="1"/>
  <c r="F249" i="1" s="1"/>
  <c r="F181" i="1"/>
  <c r="D259" i="1"/>
  <c r="F259" i="1" s="1"/>
  <c r="F191" i="1"/>
  <c r="D271" i="1"/>
  <c r="F271" i="1" s="1"/>
  <c r="F204" i="1"/>
  <c r="D281" i="1"/>
  <c r="F281" i="1" s="1"/>
  <c r="F214" i="1"/>
  <c r="D910" i="1"/>
  <c r="F909" i="1"/>
  <c r="D960" i="1"/>
  <c r="F960" i="1" s="1"/>
  <c r="F959" i="1"/>
  <c r="D1069" i="1"/>
  <c r="F1069" i="1" s="1"/>
  <c r="F1068" i="1"/>
  <c r="D264" i="1"/>
  <c r="F264" i="1" s="1"/>
  <c r="F197" i="1"/>
  <c r="D277" i="1"/>
  <c r="F277" i="1" s="1"/>
  <c r="F210" i="1"/>
  <c r="D228" i="1"/>
  <c r="F228" i="1" s="1"/>
  <c r="F160" i="1"/>
  <c r="D238" i="1"/>
  <c r="F238" i="1" s="1"/>
  <c r="F170" i="1"/>
  <c r="D250" i="1"/>
  <c r="F250" i="1" s="1"/>
  <c r="F182" i="1"/>
  <c r="D260" i="1"/>
  <c r="F260" i="1" s="1"/>
  <c r="F192" i="1"/>
  <c r="D272" i="1"/>
  <c r="F272" i="1" s="1"/>
  <c r="F205" i="1"/>
  <c r="D284" i="1"/>
  <c r="F284" i="1" s="1"/>
  <c r="F217" i="1"/>
  <c r="D350" i="1"/>
  <c r="F350" i="1" s="1"/>
  <c r="F347" i="1"/>
  <c r="F509" i="1"/>
  <c r="F1317" i="1" s="1"/>
  <c r="D916" i="1"/>
  <c r="F916" i="1" s="1"/>
  <c r="F915" i="1"/>
  <c r="D380" i="1"/>
  <c r="F380" i="1" s="1"/>
  <c r="F379" i="1"/>
  <c r="F1329" i="1"/>
  <c r="F239" i="2"/>
  <c r="F1325" i="1"/>
  <c r="F1327" i="1"/>
  <c r="F1323" i="1"/>
  <c r="F222" i="2"/>
  <c r="F243" i="2" s="1"/>
  <c r="D394" i="1"/>
  <c r="F394" i="1" s="1"/>
  <c r="D966" i="1"/>
  <c r="F966" i="1" s="1"/>
  <c r="D385" i="1"/>
  <c r="F385" i="1" s="1"/>
  <c r="D375" i="1"/>
  <c r="F375" i="1" s="1"/>
  <c r="D950" i="1"/>
  <c r="F950" i="1" s="1"/>
  <c r="D395" i="1"/>
  <c r="F395" i="1" s="1"/>
  <c r="D386" i="1"/>
  <c r="F386" i="1" s="1"/>
  <c r="D390" i="1"/>
  <c r="F390" i="1" s="1"/>
  <c r="D956" i="1"/>
  <c r="F956" i="1" s="1"/>
  <c r="D955" i="1"/>
  <c r="F955" i="1" s="1"/>
  <c r="D962" i="1"/>
  <c r="F962" i="1" s="1"/>
  <c r="D936" i="1"/>
  <c r="F936" i="1" s="1"/>
  <c r="D911" i="1"/>
  <c r="F911" i="1" s="1"/>
  <c r="F247" i="2" l="1"/>
  <c r="F249" i="2" s="1"/>
  <c r="F251" i="2" s="1"/>
  <c r="D943" i="1"/>
  <c r="F943" i="1" s="1"/>
  <c r="J564" i="1"/>
  <c r="D937" i="1"/>
  <c r="F937" i="1" s="1"/>
  <c r="F935" i="1"/>
  <c r="D961" i="1"/>
  <c r="F961" i="1" s="1"/>
  <c r="D942" i="1"/>
  <c r="F942" i="1" s="1"/>
  <c r="D917" i="1"/>
  <c r="F917" i="1" s="1"/>
  <c r="D918" i="1"/>
  <c r="F918" i="1" s="1"/>
  <c r="I564" i="1"/>
  <c r="D408" i="1"/>
  <c r="F407" i="1"/>
  <c r="D931" i="1"/>
  <c r="F931" i="1" s="1"/>
  <c r="F929" i="1"/>
  <c r="D923" i="1"/>
  <c r="F923" i="1" s="1"/>
  <c r="F310" i="1"/>
  <c r="D312" i="1"/>
  <c r="F312" i="1" s="1"/>
  <c r="D912" i="1"/>
  <c r="F912" i="1" s="1"/>
  <c r="F910" i="1"/>
  <c r="D930" i="1"/>
  <c r="F930" i="1" s="1"/>
  <c r="D924" i="1"/>
  <c r="F924" i="1" s="1"/>
  <c r="D949" i="1"/>
  <c r="F949" i="1" s="1"/>
  <c r="D913" i="1"/>
  <c r="F913" i="1" s="1"/>
  <c r="D957" i="1"/>
  <c r="F957" i="1" s="1"/>
  <c r="D938" i="1"/>
  <c r="F938" i="1" s="1"/>
  <c r="D153" i="1"/>
  <c r="F153" i="1" s="1"/>
  <c r="F408" i="1"/>
  <c r="D967" i="1"/>
  <c r="F967" i="1" s="1"/>
  <c r="D919" i="1"/>
  <c r="F919" i="1" s="1"/>
  <c r="D391" i="1"/>
  <c r="F391" i="1" s="1"/>
  <c r="D396" i="1"/>
  <c r="F396" i="1" s="1"/>
  <c r="D387" i="1"/>
  <c r="F387" i="1" s="1"/>
  <c r="D951" i="1" l="1"/>
  <c r="F951" i="1" s="1"/>
  <c r="D932" i="1"/>
  <c r="F932" i="1" s="1"/>
  <c r="D925" i="1"/>
  <c r="F925" i="1" s="1"/>
  <c r="F1076" i="1" s="1"/>
  <c r="F1321" i="1" s="1"/>
  <c r="D944" i="1"/>
  <c r="F944" i="1" s="1"/>
  <c r="D963" i="1"/>
  <c r="F963" i="1" s="1"/>
  <c r="F454" i="1"/>
  <c r="F1315" i="1" s="1"/>
  <c r="F1334" i="1" l="1"/>
  <c r="F1336" i="1" s="1"/>
  <c r="F1338" i="1" s="1"/>
</calcChain>
</file>

<file path=xl/sharedStrings.xml><?xml version="1.0" encoding="utf-8"?>
<sst xmlns="http://schemas.openxmlformats.org/spreadsheetml/2006/main" count="1901" uniqueCount="498">
  <si>
    <t xml:space="preserve">GRAĐEVINSKI RADOVI </t>
  </si>
  <si>
    <t>*</t>
  </si>
  <si>
    <t>napomena:</t>
  </si>
  <si>
    <t>Sve mjere kontrolirati u naravi</t>
  </si>
  <si>
    <t>I</t>
  </si>
  <si>
    <t>RUŠENJA, DEMONTAŽE, PRIPREMA</t>
  </si>
  <si>
    <t>jed. mj.</t>
  </si>
  <si>
    <t>količina</t>
  </si>
  <si>
    <t>jed.cijena</t>
  </si>
  <si>
    <t>ukupno</t>
  </si>
  <si>
    <t>Priprema</t>
  </si>
  <si>
    <t>1.</t>
  </si>
  <si>
    <t>1a.</t>
  </si>
  <si>
    <t>dvorište c-d-1-2 (torket zidova izvana)</t>
  </si>
  <si>
    <t>komplet</t>
  </si>
  <si>
    <t>1b.</t>
  </si>
  <si>
    <t>dvorište c-d-6-7 (torket zidova izvana)</t>
  </si>
  <si>
    <t>1c.</t>
  </si>
  <si>
    <t>stubište kroz sve etaže (torket)</t>
  </si>
  <si>
    <t>1d.</t>
  </si>
  <si>
    <t>dvorišni zid u osi f (ojačanje CRM-om)</t>
  </si>
  <si>
    <t>1e.</t>
  </si>
  <si>
    <t>hodni prolaz u prizemlju (ojačanje stropa flahovima)</t>
  </si>
  <si>
    <t>1f.</t>
  </si>
  <si>
    <t>stan na 2. katu ulične zgrade (sprezanje grednika poda tlačnom pločom)</t>
  </si>
  <si>
    <t>1g.</t>
  </si>
  <si>
    <t>potkrovlje ulične zgrade (sprezanje grednika poda tlačnom pločom)</t>
  </si>
  <si>
    <t>1h.</t>
  </si>
  <si>
    <t>stan na 3. katu dvorišne zgrade (sprezanje grednika poda tlačnom pločom)</t>
  </si>
  <si>
    <t>1i.</t>
  </si>
  <si>
    <t>ravni krov dvorišne zgrade (sprezanje grednika tlačnom pločom)</t>
  </si>
  <si>
    <t>2.</t>
  </si>
  <si>
    <t>Pripremni radovi. Pripremni radovi uključuju sve radnje na pomicanju i zaštiti opreme i uređaja od oštećenja i prašine, radovi uključuju i demontažu rasvjetnih tijela, utičnica i prekidača te zaštitu električnih i plinskih instalacija, razvodnoga ormara struje i brojila potrošnje struje, ako postoje u zoni sanacijskih radova. U pripremne radove uključiti i unutarnji transport materijala do mjesta ugradnje u objektu. Po dovršetku radova sve treba vratiti u prvobitni položaj i stanje prije početka sanacije. Obračun je po kompletu svih provedenih pripremnih radova.</t>
  </si>
  <si>
    <t>2a.</t>
  </si>
  <si>
    <t>dvorište d-e-1-2 (torket zidova izvana)</t>
  </si>
  <si>
    <t>2b.</t>
  </si>
  <si>
    <t>dvorište d-e-6-7 (torket zidova izvana)</t>
  </si>
  <si>
    <t>2c.</t>
  </si>
  <si>
    <t>2d.</t>
  </si>
  <si>
    <t>2e.</t>
  </si>
  <si>
    <t>2f.</t>
  </si>
  <si>
    <t>2g.</t>
  </si>
  <si>
    <t>2h.</t>
  </si>
  <si>
    <t>2i.</t>
  </si>
  <si>
    <t>3.</t>
  </si>
  <si>
    <t xml:space="preserve">Dobava i postava zaštitne folije za pokrivanje poda gdje se radi, a kao zaštita od oštećenja. Hodne plohe treba zaštititi PE folijom dok sve rubne površine uz rubove vrata, štokove, prekidače, ormariće i sl treba zaštititi pik trakom koju nakon završetka radova treba ukloniti. Radove treba izvoditi pažljivo i precizno. </t>
  </si>
  <si>
    <t>3a.</t>
  </si>
  <si>
    <t>stubište kroz sve etaže (uključeno svih 5 površina dijela stubišta)</t>
  </si>
  <si>
    <r>
      <t>m</t>
    </r>
    <r>
      <rPr>
        <vertAlign val="superscript"/>
        <sz val="10"/>
        <rFont val="Arial"/>
        <family val="2"/>
      </rPr>
      <t>2</t>
    </r>
  </si>
  <si>
    <t>3b.</t>
  </si>
  <si>
    <t xml:space="preserve">hodni prolaz u prizemlju </t>
  </si>
  <si>
    <t>Uklanjanje svih elemenata u prostorijama (ormari, kreveti i slično) što spriječava izvedbu.  Deponirati na suhom mjestu i zaštiti od prašine folijom. Potrebno je napisati zapisnik i predočiti nadzornom inženjeru svih elemenata izmještenih za potrebu izvedbe radova. Nakon završetka potrebno je sve vratiti na svom mjestu. Obračun po paušalu. U stavku uključiti sve potrebne materijale, rad i opremu za izvedbu do potpune gotovosti. Odnosi se na sve radove sanacije.</t>
  </si>
  <si>
    <t>4a.</t>
  </si>
  <si>
    <t>stan na 2. katu ulične zgrade</t>
  </si>
  <si>
    <t>4b.</t>
  </si>
  <si>
    <t>potkrovlje ulične zgrade</t>
  </si>
  <si>
    <t>4c.</t>
  </si>
  <si>
    <t xml:space="preserve">stan na 3. katu dvorišne zgrade </t>
  </si>
  <si>
    <t>Ojačanje uglova zidova sidrenjem
 armaturnim šipkama</t>
  </si>
  <si>
    <t>5.</t>
  </si>
  <si>
    <t>ručno odbijanje</t>
  </si>
  <si>
    <t>podrum dvorišne zgrade (5 komada po mjestu)</t>
  </si>
  <si>
    <t>- os 1 - f</t>
  </si>
  <si>
    <t>- os 3 - f</t>
  </si>
  <si>
    <t>- os 5 - f</t>
  </si>
  <si>
    <t>- os 7 - f</t>
  </si>
  <si>
    <t>- os 1 - d</t>
  </si>
  <si>
    <t>- os 7 - d</t>
  </si>
  <si>
    <t>podrum ulične zgrade (2 komada po mjestu)</t>
  </si>
  <si>
    <t>- os 1 - c</t>
  </si>
  <si>
    <t>- os 7 - c</t>
  </si>
  <si>
    <t>- os 1 - a</t>
  </si>
  <si>
    <t>- os 3 - a</t>
  </si>
  <si>
    <t>- os 5 - a</t>
  </si>
  <si>
    <t>- os 7 - a</t>
  </si>
  <si>
    <t>prizemlje dvorišne zgrade (5 komada po mjestu)</t>
  </si>
  <si>
    <t>- os 4 - f</t>
  </si>
  <si>
    <t>prizemlje ulične zgrade (5 komada po mjestu)</t>
  </si>
  <si>
    <t>1.kat dvorišne zgrade (5 komada po mjestu)</t>
  </si>
  <si>
    <t>1.kat ulične zgrade (5 komada po mjestu)</t>
  </si>
  <si>
    <t>- os 4 - a</t>
  </si>
  <si>
    <t>2.kat dvorišne zgrade (5 komada po mjestu)</t>
  </si>
  <si>
    <t>2.kat ulične zgrade (5 komada po mjestu)</t>
  </si>
  <si>
    <t>3.kat dvorišne zgrade (5 komada po mjestu)</t>
  </si>
  <si>
    <r>
      <rPr>
        <b/>
        <sz val="10"/>
        <rFont val="Symbol"/>
        <family val="1"/>
        <charset val="2"/>
      </rPr>
      <t>S</t>
    </r>
    <r>
      <rPr>
        <b/>
        <sz val="10"/>
        <rFont val="Arial"/>
        <family val="2"/>
      </rPr>
      <t xml:space="preserve"> =</t>
    </r>
  </si>
  <si>
    <r>
      <t>m</t>
    </r>
    <r>
      <rPr>
        <b/>
        <vertAlign val="superscript"/>
        <sz val="10"/>
        <rFont val="Arial"/>
        <family val="2"/>
      </rPr>
      <t>2</t>
    </r>
  </si>
  <si>
    <t>utovar i odvoz uz koeficijent rastresitosti</t>
  </si>
  <si>
    <r>
      <t>m</t>
    </r>
    <r>
      <rPr>
        <vertAlign val="superscript"/>
        <sz val="10"/>
        <rFont val="Arial"/>
        <family val="2"/>
      </rPr>
      <t>3</t>
    </r>
  </si>
  <si>
    <t>6.</t>
  </si>
  <si>
    <t>Bušenje rupa za sidrenje promjera 22 mm. Koristiti ručnu bušilicu. Bušenje je kroz zid od opeke na mjestima predviđenim projektom. Dubina rupe iznosi 1.25 m, osim ako projektom nije drugačije propisano. Nakon bušenja potrebno je očistiti rupu. Rupa mora biti očišćena od prašine i ostataka opeke i morta. Obračun po komadu. U stavku uključiti sve potrebne materijale, rad i opremu za izvedbu do potpune gotovosti.</t>
  </si>
  <si>
    <t>kom</t>
  </si>
  <si>
    <t>7.</t>
  </si>
  <si>
    <t>Izvedba ležajeva dimenzija 15x15 cm i dubine           5 cm. Potrebno je ručno i pažljivo odštemati ležaj na zidu od opeke. Obračun po komadu. U stavku uključiti sve potrebne materijale, rad i opremu za izvedbu do potpune gotovosti.</t>
  </si>
  <si>
    <t xml:space="preserve">Torkretiranje zidova </t>
  </si>
  <si>
    <t>8.</t>
  </si>
  <si>
    <r>
      <t>Pažljivo ručno obijanje trošne žbuke debljine       2,5-5 cm s definiranih ravnih ploha  zidova do čiste, ravne, čvrste i suhe podloge.  Ziđe je od opeke.  Utovar, odvoz i istovar na lokaciju  udaljenu do 20 km. Obračun po m</t>
    </r>
    <r>
      <rPr>
        <vertAlign val="superscript"/>
        <sz val="10"/>
        <rFont val="Arial"/>
        <family val="2"/>
      </rPr>
      <t>3</t>
    </r>
    <r>
      <rPr>
        <sz val="10"/>
        <rFont val="Arial"/>
        <family val="2"/>
      </rPr>
      <t xml:space="preserve">. </t>
    </r>
  </si>
  <si>
    <t>dvorište c-d-1-2</t>
  </si>
  <si>
    <t>8a.</t>
  </si>
  <si>
    <t>zid u osi d</t>
  </si>
  <si>
    <t>8b.</t>
  </si>
  <si>
    <t>zid u osi 2</t>
  </si>
  <si>
    <t>8c.</t>
  </si>
  <si>
    <t>zid u osi c</t>
  </si>
  <si>
    <t xml:space="preserve">dvorište c-d-6-7 </t>
  </si>
  <si>
    <t>8d.</t>
  </si>
  <si>
    <t>8e.</t>
  </si>
  <si>
    <t>zid u osi 6</t>
  </si>
  <si>
    <t>8f.</t>
  </si>
  <si>
    <t xml:space="preserve">stubište kroz sve etaže </t>
  </si>
  <si>
    <t>8g.</t>
  </si>
  <si>
    <t>8h.</t>
  </si>
  <si>
    <t>zid u osi e</t>
  </si>
  <si>
    <t>8i.</t>
  </si>
  <si>
    <t>- zidovi</t>
  </si>
  <si>
    <t>9.</t>
  </si>
  <si>
    <r>
      <t>Nakon obijanja žbuke zid očistiti čeličnim četkama, a reške skobama do dubine od 2 cm. Potom cijelu površinu otprašiti i isprati vodom pod tlakom. Utovar, odvoz i istovar na lokaciju  udaljenu do 20 km. Obračun po m</t>
    </r>
    <r>
      <rPr>
        <vertAlign val="superscript"/>
        <sz val="10"/>
        <rFont val="Arial"/>
        <family val="2"/>
      </rPr>
      <t>2</t>
    </r>
    <r>
      <rPr>
        <sz val="10"/>
        <rFont val="Arial"/>
        <family val="2"/>
      </rPr>
      <t xml:space="preserve">. </t>
    </r>
  </si>
  <si>
    <t>9a.</t>
  </si>
  <si>
    <t>9b.</t>
  </si>
  <si>
    <t>9c.</t>
  </si>
  <si>
    <t>9d.</t>
  </si>
  <si>
    <t>9e.</t>
  </si>
  <si>
    <t>9f.</t>
  </si>
  <si>
    <t>9g.</t>
  </si>
  <si>
    <t>9h.</t>
  </si>
  <si>
    <t>9i.</t>
  </si>
  <si>
    <t>10.</t>
  </si>
  <si>
    <t>Ispuhati zrakom pod tlakom sve zidove. Potrebno je zašititi sve površine prethodno ispuhivanju. Alternativa je četkom to očistiti. U stavku uključiti sav potreban materijal, rad i opremu za izvedbu do potpune gotovosti.</t>
  </si>
  <si>
    <t>10a.</t>
  </si>
  <si>
    <t>10b.</t>
  </si>
  <si>
    <t>10c.</t>
  </si>
  <si>
    <t>10d.</t>
  </si>
  <si>
    <t>10e.</t>
  </si>
  <si>
    <t>10f.</t>
  </si>
  <si>
    <t>10g.</t>
  </si>
  <si>
    <t>10h.</t>
  </si>
  <si>
    <t>10i.</t>
  </si>
  <si>
    <t>11.</t>
  </si>
  <si>
    <t xml:space="preserve">Priprema i šlicanje zidova stubišta na mjestima krakova stubišta i podesta. Šlic izvesti u debljini serklaža (dim.15x15cm) po djelomičnoj duljini krakova i podesta. Ziđe je od opeke. U stavku uključiti sav potreban materijal, rad i opremu za izvedbu do potpune gotovosti. Utovar, odvoz i istovar na lokaciju  udaljenu do 20 km. Obračun po m3. </t>
  </si>
  <si>
    <t>- izvedba horizontalnih i kosih serklaža kroz sve etaže, iznad i ispod stepenica za sve etaže                      L ≈ 9 m po etaži i potrebno ponoviti 5 puta</t>
  </si>
  <si>
    <t>- horizontalni i kosi serklaži stubišta</t>
  </si>
  <si>
    <t xml:space="preserve">Ojačanje dijela međukatne konstrukcije sprezanjem drvenih grednika daščanom oplatom te povezivanje takve spregnute konstrukcije sa flahovima i sidrenje u postojeće nosivo ziđe
</t>
  </si>
  <si>
    <t>12.</t>
  </si>
  <si>
    <r>
      <t xml:space="preserve">Pažljivo ručno obijanje trošne žbuke pretpostavljene debljine 5 cm sa cijelog </t>
    </r>
    <r>
      <rPr>
        <b/>
        <sz val="10"/>
        <rFont val="Arial"/>
        <family val="2"/>
      </rPr>
      <t>stropa</t>
    </r>
    <r>
      <rPr>
        <sz val="10"/>
        <rFont val="Arial"/>
        <family val="2"/>
        <charset val="238"/>
      </rPr>
      <t xml:space="preserve"> prema nacrtima. Pretpostavka je da je donja oplata zdrava i da se ne treba mijenjati.Pretpostavljeni slojevi su prema starom načinu izvedbe drvenog grednika, žbuka i trstika. Uklonjenu žbuku deponirati na odgovarajuću deponiju za građevinski materijal do 20 km od gradilišta. Obračun po m</t>
    </r>
    <r>
      <rPr>
        <vertAlign val="superscript"/>
        <sz val="10"/>
        <rFont val="Arial"/>
        <family val="2"/>
      </rPr>
      <t>3</t>
    </r>
    <r>
      <rPr>
        <sz val="10"/>
        <rFont val="Arial"/>
        <family val="2"/>
        <charset val="238"/>
      </rPr>
      <t>. U stavku ulazi uklanjanje, utovar, prijevoz i deponiranje. U stavku uključiti sve potrebne materijale, rad i opremu za izvedbu do potpune gotovosti.</t>
    </r>
  </si>
  <si>
    <t>prolaz u prizemlju</t>
  </si>
  <si>
    <t>Sprezanjem postojećih drvenih grednika s AB tlačnom pločom t = 8 cm i sidrenjem u nosive zidove</t>
  </si>
  <si>
    <t>13.</t>
  </si>
  <si>
    <r>
      <t xml:space="preserve">Skidanje podne obloge </t>
    </r>
    <r>
      <rPr>
        <b/>
        <sz val="10"/>
        <rFont val="Arial"/>
        <family val="2"/>
      </rPr>
      <t>u stanu na 2. katu ulične zgrade</t>
    </r>
    <r>
      <rPr>
        <sz val="10"/>
        <rFont val="Arial"/>
        <family val="2"/>
        <charset val="238"/>
      </rPr>
      <t>. Pretpostavljena debljina završnih slojeva iznosi do 5 cm. Gornju oplatu je potrebno skinuti kako bi se i uklonila šuta (visine do 15 cm između grednika) i zamjenila boljom zvučnom izolacijom. Uklonjene slojeve deponirati na odgovarajuću deponiju za građevinski materijal do 20 km od gradilišta. Obračun po m</t>
    </r>
    <r>
      <rPr>
        <vertAlign val="superscript"/>
        <sz val="10"/>
        <rFont val="Arial"/>
        <family val="2"/>
      </rPr>
      <t>2</t>
    </r>
    <r>
      <rPr>
        <sz val="10"/>
        <rFont val="Arial"/>
        <family val="2"/>
        <charset val="238"/>
      </rPr>
      <t>. U stavku ulazi uklanjanje, utovar, prijevoz i deponiranje. U stavku uključiti sve potrebne materijale, rad i opremu za izvedbu do potpune gotovosti.</t>
    </r>
  </si>
  <si>
    <t>13a.</t>
  </si>
  <si>
    <t>- završni sloj do 5 cm</t>
  </si>
  <si>
    <t>13b.</t>
  </si>
  <si>
    <t>- daščana oplata 2.4 cm</t>
  </si>
  <si>
    <t>13c.</t>
  </si>
  <si>
    <t>- vađenje šute</t>
  </si>
  <si>
    <t>14.</t>
  </si>
  <si>
    <r>
      <t xml:space="preserve">Skidanje podne obloge  i daščane oplate na </t>
    </r>
    <r>
      <rPr>
        <b/>
        <sz val="10"/>
        <rFont val="Arial"/>
        <family val="2"/>
      </rPr>
      <t>podu potkrovlja ulične zgrade</t>
    </r>
    <r>
      <rPr>
        <sz val="10"/>
        <rFont val="Arial"/>
        <family val="2"/>
        <charset val="238"/>
      </rPr>
      <t>. Pretpostavljena debljina slojeva iznosi do 15 cm završnog sloja (masivni blokovi), 1x daščana oplata 2,4 cm te šuta visine 15 cm (između grednika). Uklonjene slojeve deponirati na odgovarajuću deponiju za građevinski materijal do 20 km od gradilišta. Obračun po m</t>
    </r>
    <r>
      <rPr>
        <vertAlign val="superscript"/>
        <sz val="10"/>
        <rFont val="Arial"/>
        <family val="2"/>
      </rPr>
      <t>2</t>
    </r>
    <r>
      <rPr>
        <sz val="10"/>
        <rFont val="Arial"/>
        <family val="2"/>
        <charset val="238"/>
      </rPr>
      <t>. U stavku ulazi uklanjanje, utovar, prijevoz i deponiranje. U stavku uključiti sve potrebne materijale, rad i opremu za izvedbu do potpune gotovosti.</t>
    </r>
  </si>
  <si>
    <t>14a.</t>
  </si>
  <si>
    <t xml:space="preserve">- masivni blokovi do 15 cm </t>
  </si>
  <si>
    <t>14b.</t>
  </si>
  <si>
    <t>14c.</t>
  </si>
  <si>
    <t>15.</t>
  </si>
  <si>
    <r>
      <t xml:space="preserve">Skidanje podne obloge </t>
    </r>
    <r>
      <rPr>
        <b/>
        <sz val="10"/>
        <rFont val="Arial"/>
        <family val="2"/>
      </rPr>
      <t>u stanu na 3. katu dvorišne zgrade</t>
    </r>
    <r>
      <rPr>
        <sz val="10"/>
        <rFont val="Arial"/>
        <family val="2"/>
        <charset val="238"/>
      </rPr>
      <t>. Pretpostavljena debljina završnih slojeva iznosi do 5 cm. Gornju oplatu je potrebno skinuti kako bi se i uklonila šuta (visine do 15 cm između grednika) i zamjenila boljom zvučnom izolacijom. Uklonjene slojeve deponirati na odgovarajuću deponiju za građevinski materijal do 20 km od gradilišta. Obračun po m</t>
    </r>
    <r>
      <rPr>
        <vertAlign val="superscript"/>
        <sz val="10"/>
        <rFont val="Arial"/>
        <family val="2"/>
      </rPr>
      <t>2</t>
    </r>
    <r>
      <rPr>
        <sz val="10"/>
        <rFont val="Arial"/>
        <family val="2"/>
        <charset val="238"/>
      </rPr>
      <t>. U stavku ulazi uklanjanje, utovar, prijevoz i deponiranje. U stavku uključiti sve potrebne materijale, rad i opremu za izvedbu do potpune gotovosti.</t>
    </r>
  </si>
  <si>
    <t>15a.</t>
  </si>
  <si>
    <t>15b.</t>
  </si>
  <si>
    <t>15c.</t>
  </si>
  <si>
    <t>16.</t>
  </si>
  <si>
    <r>
      <t xml:space="preserve">Pažljivo ručno obijanje trošne žbuke pretpostavljene debljine 5 cm sa cijelog </t>
    </r>
    <r>
      <rPr>
        <b/>
        <sz val="10"/>
        <rFont val="Arial"/>
        <family val="2"/>
      </rPr>
      <t>stropa</t>
    </r>
    <r>
      <rPr>
        <sz val="10"/>
        <rFont val="Arial"/>
        <family val="2"/>
        <charset val="238"/>
      </rPr>
      <t xml:space="preserve"> </t>
    </r>
    <r>
      <rPr>
        <b/>
        <sz val="10"/>
        <rFont val="Arial"/>
        <family val="2"/>
      </rPr>
      <t>3. kata dvorišne zgrade</t>
    </r>
    <r>
      <rPr>
        <sz val="10"/>
        <rFont val="Arial"/>
        <family val="2"/>
        <charset val="238"/>
      </rPr>
      <t>. Pretpostavljeni slojevi su prema starom načinu izvedbe drvenog grednika, žbuka i trstika. Uklonjenu žbuku deponirati na odgovarajuću deponiju za građevinski materijal do 20 km od gradilišta. Obračun po m</t>
    </r>
    <r>
      <rPr>
        <vertAlign val="superscript"/>
        <sz val="10"/>
        <rFont val="Arial"/>
        <family val="2"/>
      </rPr>
      <t>3</t>
    </r>
    <r>
      <rPr>
        <sz val="10"/>
        <rFont val="Arial"/>
        <family val="2"/>
        <charset val="238"/>
      </rPr>
      <t>. U stavku ulazi uklanjanje, utovar, prijevoz i deponiranje. U stavku uključiti sve potrebne materijale, rad i opremu za izvedbu do potpune gotovosti.</t>
    </r>
  </si>
  <si>
    <t>strop 3. kata dvorišne zgrade</t>
  </si>
  <si>
    <t>17.</t>
  </si>
  <si>
    <r>
      <t>Skidanje daščane oplate krova 3. kata. Pretpostavljena debljina 2x daščana oplata 2,4 cm. Uklonjene slojeve deponirati na odgovarajuću deponiju za građevinski materijal do 20 km od gradilišta. Obračun po m</t>
    </r>
    <r>
      <rPr>
        <vertAlign val="superscript"/>
        <sz val="10"/>
        <rFont val="Arial"/>
        <family val="2"/>
      </rPr>
      <t>2</t>
    </r>
    <r>
      <rPr>
        <sz val="10"/>
        <rFont val="Arial"/>
        <family val="2"/>
        <charset val="238"/>
      </rPr>
      <t>. U stavku ulazi uklanjanje, utovar, prijevoz i deponiranje. U stavku uključiti sve potrebne materijale, rad i opremu za izvedbu do potpune gotovosti.</t>
    </r>
  </si>
  <si>
    <t>17a.</t>
  </si>
  <si>
    <t xml:space="preserve">- donja daščana oplata 2,4 cm </t>
  </si>
  <si>
    <t>17b.</t>
  </si>
  <si>
    <t xml:space="preserve">- gornja daščana oplata 2,4 cm </t>
  </si>
  <si>
    <t>18.</t>
  </si>
  <si>
    <r>
      <t>Uklanjanje i deponiranje šute unutar dva sloja daščanje oplate krova 3. kata. Pretpostavljena visina šute iznosi 15-20 cm. Uklonjenu šutu deponirati na odgovorajući deponij za građevinski materijal do 20 km od gradilišta. Obračun po m</t>
    </r>
    <r>
      <rPr>
        <vertAlign val="superscript"/>
        <sz val="10"/>
        <rFont val="Arial"/>
        <family val="2"/>
      </rPr>
      <t>3</t>
    </r>
    <r>
      <rPr>
        <sz val="10"/>
        <rFont val="Arial"/>
        <family val="2"/>
        <charset val="238"/>
      </rPr>
      <t>. U stavku ulazi uklanjanje, utovar, prijevoz i deponiranje. U stavku uključiti sve potrebne radove, materijale i opremu za izvedbu do potpune gotovosti.</t>
    </r>
  </si>
  <si>
    <t>19.</t>
  </si>
  <si>
    <r>
      <t>Skidanje slojeva ravnog krova. Pretpostavljena debljina slojeva iznosi 5cm zelenilo, daščana oplata 2,4 cm (VEĆ U PREDHODNOJ STAVCI SKINUTO) s bitumenskim ljepenkama, beton u padu od 2 do 6 cm. Uklonjene slojeve deponirati na odgovarajuću deponiju za građevinski materijal do 20km od gradilišta. Obračun po m</t>
    </r>
    <r>
      <rPr>
        <vertAlign val="superscript"/>
        <sz val="10"/>
        <rFont val="Arial"/>
        <family val="2"/>
      </rPr>
      <t>2</t>
    </r>
    <r>
      <rPr>
        <sz val="10"/>
        <rFont val="Arial"/>
        <family val="2"/>
        <charset val="238"/>
      </rPr>
      <t xml:space="preserve">. U stavku ulazi uklanjanje, utovar, prijevoz i deponiranje. U stavku uključiti sve potrebne materijale, rad i opremu za izvedbu do potpune gotovosti. Prethodno izvedbi obavijestiti nadzornog inženjera da upiše slojeve unutar građevinskog dnevnika. </t>
    </r>
  </si>
  <si>
    <t>19a.</t>
  </si>
  <si>
    <t>zelenilo (trava) 5cm</t>
  </si>
  <si>
    <t>19b.</t>
  </si>
  <si>
    <t>cementni estrih 2-6 cm</t>
  </si>
  <si>
    <t>Ojačanje zidova CRM-om</t>
  </si>
  <si>
    <t>20.</t>
  </si>
  <si>
    <r>
      <t>Pažljivo ručno obijanje trošne žbuke debljine           2,5-5 cm s definiranih ravnih ploha  zidova prostorija do čiste, ravne, čvrste i suhe podloge.  Ziđe je od opeke.  Utovar, odvoz i istovar na lokaciju  udaljenu do 20 km. Obračun po m</t>
    </r>
    <r>
      <rPr>
        <vertAlign val="superscript"/>
        <sz val="10"/>
        <rFont val="Arial"/>
        <family val="2"/>
      </rPr>
      <t>3</t>
    </r>
    <r>
      <rPr>
        <sz val="10"/>
        <rFont val="Arial"/>
        <family val="2"/>
        <charset val="238"/>
      </rPr>
      <t xml:space="preserve">. </t>
    </r>
  </si>
  <si>
    <t>20a.</t>
  </si>
  <si>
    <t>zid u osi f (ojačanje izvana)</t>
  </si>
  <si>
    <t>ostalo</t>
  </si>
  <si>
    <t>20b.</t>
  </si>
  <si>
    <r>
      <t xml:space="preserve">- pukotine u zidovima u pregradnim zidovima i/ili nosivim zidovima koji nisu posebno obuhvaćeni mjerama za konstruktivno ojačanje (procijenjeno oko 10% od ukupne tlocrtne površine etaže </t>
    </r>
    <r>
      <rPr>
        <b/>
        <sz val="10"/>
        <rFont val="Arial"/>
        <family val="2"/>
      </rPr>
      <t>prizemlja</t>
    </r>
    <r>
      <rPr>
        <sz val="10"/>
        <rFont val="Arial"/>
        <family val="2"/>
      </rPr>
      <t>) Očistiti oko pukotine 25 do 30 cm sa svake strane, uzduž cijele pukotine</t>
    </r>
  </si>
  <si>
    <t>20c.</t>
  </si>
  <si>
    <r>
      <t xml:space="preserve">- pukotine u zidovima u pregradnim zidovima i/ili nosivim zidovima koji nisu posebno obuhvaćeni mjerama za konstruktivno ojačanje (procijenjeno oko 10% od ukupne tlocrtne površine etaže </t>
    </r>
    <r>
      <rPr>
        <b/>
        <sz val="10"/>
        <rFont val="Arial"/>
        <family val="2"/>
      </rPr>
      <t>1.kata</t>
    </r>
    <r>
      <rPr>
        <sz val="10"/>
        <rFont val="Arial"/>
        <family val="2"/>
      </rPr>
      <t>) Očistiti oko pukotine 25 do 30 cm sa svake strane, uzduž cijele pukotine</t>
    </r>
  </si>
  <si>
    <t>20d.</t>
  </si>
  <si>
    <r>
      <t>- pukotine u zidovima u pregradnim zidovima i/ili nosivim zidovima koji nisu posebno obuhvaćeni mjerama za konstruktivno ojačanje (procijenjeno oko 10% od ukupne tlocrtne površine etaže</t>
    </r>
    <r>
      <rPr>
        <b/>
        <sz val="10"/>
        <rFont val="Arial"/>
        <family val="2"/>
      </rPr>
      <t xml:space="preserve"> 2.kata</t>
    </r>
    <r>
      <rPr>
        <sz val="10"/>
        <rFont val="Arial"/>
        <family val="2"/>
      </rPr>
      <t>) Očistiti oko pukotine 25 do 30 cm sa svake strane, uzduž cijele pukotine</t>
    </r>
  </si>
  <si>
    <t>20e.</t>
  </si>
  <si>
    <r>
      <t xml:space="preserve">- pukotine u zidovima u pregradnim zidovima i/ili nosivim zidovima koji nisu posebno obuhvaćeni mjerama za konstruktivno ojačanje (procijenjeno oko 10% od ukupne tlocrtne površine etaže </t>
    </r>
    <r>
      <rPr>
        <b/>
        <sz val="10"/>
        <rFont val="Arial"/>
        <family val="2"/>
      </rPr>
      <t>3.kata</t>
    </r>
    <r>
      <rPr>
        <sz val="10"/>
        <rFont val="Arial"/>
        <family val="2"/>
      </rPr>
      <t>) Očistiti oko pukotine 25 do 30 cm sa svake strane, uzduž cijele pukotine</t>
    </r>
  </si>
  <si>
    <t>21.</t>
  </si>
  <si>
    <t>21a.</t>
  </si>
  <si>
    <t>21b.</t>
  </si>
  <si>
    <t>21c.</t>
  </si>
  <si>
    <t>21d.</t>
  </si>
  <si>
    <t>21e.</t>
  </si>
  <si>
    <t>22.</t>
  </si>
  <si>
    <t>22a.</t>
  </si>
  <si>
    <t>22b.</t>
  </si>
  <si>
    <t>22c.</t>
  </si>
  <si>
    <t>22d.</t>
  </si>
  <si>
    <t>22e.</t>
  </si>
  <si>
    <t>Ojačanje zabata ušlicavanjem VS na zabate potkrovlja ulične grade/ 3. kata dvorišne zgrade</t>
  </si>
  <si>
    <t>23.</t>
  </si>
  <si>
    <t>Priprema i šlicanje zabata za ugradnju vertikalnih serklaža dimenzija 0,25 x 0,25 m u dubini do 15 cm.</t>
  </si>
  <si>
    <t>23a.</t>
  </si>
  <si>
    <t>- izvedba 4 šlica ulične zgrade u osi 1</t>
  </si>
  <si>
    <t>23b.</t>
  </si>
  <si>
    <t>- izvedba 4 šlica ulične zgrade u osi 7</t>
  </si>
  <si>
    <t>23c.</t>
  </si>
  <si>
    <t>- izvedba 4 šlica dvorišne zgrade u osi 1</t>
  </si>
  <si>
    <t>23d.</t>
  </si>
  <si>
    <t>- izvedba 4 šlica dvorišne zgrade u osi 7</t>
  </si>
  <si>
    <r>
      <t>m</t>
    </r>
    <r>
      <rPr>
        <b/>
        <vertAlign val="superscript"/>
        <sz val="10"/>
        <rFont val="Arial"/>
        <family val="2"/>
      </rPr>
      <t>3</t>
    </r>
  </si>
  <si>
    <t>Ostalo</t>
  </si>
  <si>
    <t>24.</t>
  </si>
  <si>
    <t>Višekratno i detaljno čišćenje prostorija za vrijeme izvođenja radova, prije primopredaje prostorija obuhvaćenih radovima. Stavka ukljućuje čišćenje nakon svih radova.  Ukoliko dođe do onečišćenja prostorija koje nisu obuhvaćene radovima, izvođač je iste dužan očistiti o svom trošku.</t>
  </si>
  <si>
    <t>24a.</t>
  </si>
  <si>
    <t>24b.</t>
  </si>
  <si>
    <t>24c.</t>
  </si>
  <si>
    <t>24d.</t>
  </si>
  <si>
    <t>24e.</t>
  </si>
  <si>
    <t>Ugradnja sonde radi provođenja restauratorskih istražnih radova na uličnom pročelju na pozicijama prema nacrtu na kraju troškovnika.</t>
  </si>
  <si>
    <t>26.</t>
  </si>
  <si>
    <t>Izrada izvješća restauratorskih istražnih radova.</t>
  </si>
  <si>
    <t>DEMONTAŽA, RUŠENJE, PRIPREMA UKUPNO:</t>
  </si>
  <si>
    <t>II</t>
  </si>
  <si>
    <t>SKELARSKI RADOVI</t>
  </si>
  <si>
    <t xml:space="preserve">Priprema potrebne dokumentacije, ishođenje dozvole za zauzimanje javno prometne površine (nogostup, parkirna mjesta i slično) od Gradskog ureda za Mjesnu samoupravu. Stavka uključuje projekt skele i tunela.  </t>
  </si>
  <si>
    <t xml:space="preserve">Dobava, postava, skidanje i otprema tunelske skele- prolaza za pješake, izrađenog od bešavnih cijevi i potrebnih spojnih elemenata, sa svim potrebnim ukrućenjima i sidrenjima, duljina skele do 17 m, visine do 5 m. Pokrov tunela izraditi od mosnica položenih jedne do druge, a preko njih postaviti bitumensku ljepenku s preklopom minimalno 10 cm ili alternativno PVC foliju. Prema ulici izvesti ogradu tunela od pune, glatke oplate visine 1,0-1,2 m, u svrhu zaštita pješaka od prometa u kretanju. Nakon postave skele potrebno je izvesti svu signalizaciju (rasvjeta, putokazi i sl.) kako to nalažu postojeći HTZ propisi. Izvođač radova dužan je u nivou pločnika izvesti ograđeni prostor za odlaganje potrebnih materijala, a u skladu s rješenjem o zauzimanju javno-prometne površine, što je uključeno u cijenu skele. Prije izvedbe skele izvođač je dužan izraditi projekt skele što je u cijeni stavke. </t>
  </si>
  <si>
    <t xml:space="preserve">Doprema na gradilište, montaža, demontaža i odvoz s gradilišta cijevne fasadne skele od bešavnih cijevi. Skelu izvesti prema projektu skele i statičkom računu koji je izvođač dužan napraviti prije izvedbe skele, prema važećim standardima, propisima i pravilima struke. Uključivo radne platforme od mosnica i zaštitne ograde (visine min. 1,2 m),  sva potrebna ukrućenja i sidrenja. Skelu osigurati sidrenjem u zgradu, a zaštititi od groma uzemljenjem. U jediničnu cijenu uključiti i zaštitni zastor od jutenih ili PE traka po cijeloj površini vanjske strane skele, željezne ili drvene ljestve – penjalice i sav potreban pomoćni materijal i pribor. Sav transport materijala, rad i komunikacije vrši se isključivo s vanjske strane građevine, preko skele, a ne kroz zgradu.
Prije davanja ponude ponuditelj može pregledom situacije, konfiguracije terena i geometrije pročelja ustanoviti mogućnosti postave skele na svim dijelovima pročelja, uvjete pristupa, osiguranja prolaza, ulaza i prostora za odlaganje materijala i zaštite drugih ploha i vegetacije. Visina skele do 16 m. Skela se radi samo na mjestu ojačavanja uglova zgrade. Obračun se vrši po vertikalnoj projekciji. Moguće je koristiti istu skelu s uličnog pročelja na dvorišnom pročelju uz nadogradnju u visini. Radi izvedbe sidrenja uglova dovoljno je jedno polje 2.5m oko mjesta ugradnje na uličnom pročelju (tunelska skela u prizemlju pa 2,5 m širine na ostalim etažama). </t>
  </si>
  <si>
    <t>- zid u osi a (tunelska skela obračunata u prethodnoj stavci+nadodane na nju 3 širine po 2,5 m za sidrenje izvana)</t>
  </si>
  <si>
    <t>- zid u osi d kroz sve etaže</t>
  </si>
  <si>
    <t>3c.</t>
  </si>
  <si>
    <t>3d.</t>
  </si>
  <si>
    <t>3e.</t>
  </si>
  <si>
    <t>3f.</t>
  </si>
  <si>
    <t>3g.</t>
  </si>
  <si>
    <t>3h.</t>
  </si>
  <si>
    <t>3i.</t>
  </si>
  <si>
    <t xml:space="preserve">zid u osi f </t>
  </si>
  <si>
    <t>4.</t>
  </si>
  <si>
    <t>Zaštita prozora i ostalih otvora na pročeljima. Stavka uključuje učvršćivanje i postavu zaštitne folije. U stavku uključiti sve potrebne materijale, rad i opremu za izvedbu do potpune gotovosti. Obračun po komadu prozora.</t>
  </si>
  <si>
    <t>Doprema radne skele za rad u zatvorenom prostoru. Visina do 5 m, duljina segmetna 2,5 m. Obračun po komadu.</t>
  </si>
  <si>
    <t>- potrebno do 4 komada po objektu da se koriste istovremeno</t>
  </si>
  <si>
    <t>SKELARSKI RADOVI UKUPNO:</t>
  </si>
  <si>
    <t>III</t>
  </si>
  <si>
    <t>ZIDARSKI RADOVI</t>
  </si>
  <si>
    <t xml:space="preserve">Dobava i ugradnja ojačanja na uglu vanjskih zidova u obliku sidara od armaturne šipke Φ16 dužine do 125 cm. U cijenu je uključena ugradnja sidara i  injektiranje rupe epoksidnim ljepilom nakon ugradnje šipke, postavljanje čelične pločice 100x100x8 mm sa zatezanjem matice nakon stvrdnjavanja epoksida te zatvaranje ležajne rupe produžnim mortom. Obračun po kg.  U cijeni je sav rad i materijal po uputi proizvođača do potpune gotovosti. </t>
  </si>
  <si>
    <t>šipke Φ16, L= 1,25 m, kom = 30</t>
  </si>
  <si>
    <t>kg</t>
  </si>
  <si>
    <t>pločice 100x100x8 mm, kom = 30</t>
  </si>
  <si>
    <t>šipke Φ16, L= 1,25 m, kom = 12</t>
  </si>
  <si>
    <t>pločice 100x100x8 mm, kom = 12</t>
  </si>
  <si>
    <t>šipke Φ16, L= 1,25 m, kom = 25</t>
  </si>
  <si>
    <t>pločice 100x100x8 mm, kom = 25</t>
  </si>
  <si>
    <t>Ispitivanje ugrađenih sidra hidrauličnom prešom. Sidra se ispituju na čupanje. Ispitivanje se vrši na 4 mjesta (naknadno će se odrediti koje sidro će se ispitati u dogovoru s nadzorom i projektantom). Obračun po komadu sidra. Sila koju sidro mora izdržati iznosi 25 kN. Ukoliko ne zadovolji, izvođač o svom trošku mijenja sva ugrađena sidra.</t>
  </si>
  <si>
    <t xml:space="preserve">ispitivanje </t>
  </si>
  <si>
    <r>
      <rPr>
        <b/>
        <sz val="10"/>
        <rFont val="Arial"/>
        <family val="2"/>
      </rPr>
      <t>Žbukanje</t>
    </r>
    <r>
      <rPr>
        <sz val="10"/>
        <rFont val="Arial"/>
        <family val="2"/>
      </rPr>
      <t xml:space="preserve"> ravnih dijelova pročelja (glatke površine)  i unutar prolaza gdje se izvodi sidrenje grubom i finom žbukom debljine 3 -5 cm.  Sastav žbuke, zrnatost i obrada prema nalazu konzervatorskog istraživanja i nalogu konzervatorskog nadzora. Pripremljena podloga prema uputama iz prethodne stavke obrađuje se odgovarajućim špricom 1-3 dana prije nanošenja lagane podložne vapnenocementne žbuke. Produžna lagana žbuka (gustoća 1000 kg/m³, tlačna čvrstoća 1,5-5,0 N/mm², koeficijent paropropusnosti μ≤ 20 (prema HRN EN 1015-19), Toplinska provodljivost, λ= 0,27 W/mK (prema HRN EN 1745)) nanosi se u sloju debljine 1,5-2,0 cm, kao postojeća s izradom potrebnih profilacija. Treba je zaravnati po uputi proizvođača ovisno o završnoj obradi, ali ne i zaribavati ili zaglađivati, kako bi završni sloj žbuke dobro prianjao. Prije nanošenja završnog sloja dobro očvrsla i osušena (7 dana sušenja / 1 cm debljine žbuke) podloga se natapa vodom razrijeđenim odgovarajućim temeljnim premazom. Površina žbuke mora biti potpuno ravna. Kvalitetu žbuke izvođač dokazuje stručnim nalazom ovlaštene ustanove, a uključeno je u cijenu stavke. U cijenu stavke uključen je sav potreban rad, materijal, faktori i transport. </t>
    </r>
  </si>
  <si>
    <r>
      <t xml:space="preserve">Nabava materijala i nanošenje </t>
    </r>
    <r>
      <rPr>
        <b/>
        <sz val="10"/>
        <rFont val="Arial"/>
        <family val="2"/>
      </rPr>
      <t>završnog sloja</t>
    </r>
    <r>
      <rPr>
        <sz val="10"/>
        <rFont val="Arial"/>
        <family val="2"/>
      </rPr>
      <t xml:space="preserve"> zrna debljine do 2 mm uz prethodno premazivanje zidova silikatnom kontakt podlogom.  Završni sloj izvesti u zrnatosti i obradi poput izvorne, po nalogu konzervatorskog nadzora, sukladno zonama u kojima se nanosi.</t>
    </r>
  </si>
  <si>
    <r>
      <rPr>
        <b/>
        <sz val="10"/>
        <rFont val="Arial"/>
        <family val="2"/>
      </rPr>
      <t>Sanacija i popravak zidova zapunjavanjem sljubnica i pukotina</t>
    </r>
    <r>
      <rPr>
        <sz val="10"/>
        <rFont val="Arial"/>
        <family val="2"/>
        <charset val="238"/>
      </rPr>
      <t xml:space="preserve"> mortom na bazi bescementnih veziva kategorije CS II prema HRN EN 998-1, uz μ&lt;10 oko oštećenja na zidovima koji se planiraju torkretirati. Prije nanošenja morta potrebno je očistiti sve četkom, otprašiti i zasititi podlogu vodom, u svrhu sprečavanja upijanja vode iz žbuke od strane podloge. Mjesta koja se popravljaju mogu se odmah izravnati sa žlicom, gleterom, gladilicom odnosno žlicom za sljubnice, lagano pritiskajući za poboljšanje prionjivosti tako da ostane jedna zatvorena površina. Višak morta ukloniti odmah nakon ugradnje. Zidovi visine do 400 cm. Obračun po m</t>
    </r>
    <r>
      <rPr>
        <vertAlign val="superscript"/>
        <sz val="10"/>
        <rFont val="Arial"/>
        <family val="2"/>
      </rPr>
      <t xml:space="preserve">2 </t>
    </r>
    <r>
      <rPr>
        <sz val="10"/>
        <rFont val="Arial"/>
        <family val="2"/>
      </rPr>
      <t xml:space="preserve">. </t>
    </r>
    <r>
      <rPr>
        <b/>
        <sz val="10"/>
        <rFont val="Arial"/>
        <family val="2"/>
      </rPr>
      <t>Procjenjeno da je potrebno sanirati oko 10% površine zidova jer su tu i oštećenja.</t>
    </r>
  </si>
  <si>
    <t>5a.</t>
  </si>
  <si>
    <t>5b.</t>
  </si>
  <si>
    <t>5c.</t>
  </si>
  <si>
    <t>5d.</t>
  </si>
  <si>
    <t>5e.</t>
  </si>
  <si>
    <t>5f.</t>
  </si>
  <si>
    <t>5g.</t>
  </si>
  <si>
    <t>5h.</t>
  </si>
  <si>
    <t>5i.</t>
  </si>
  <si>
    <t>Strojno špricanje ili ručno nanošenje fine žbuke produžnom žbukom 1:3:9 u slojevima ukupne debljine 0,5 cm za fini sloj žbuke nakon što se zidovi istorkretiraju. Stavka obhvaća prethodno žbukanju nanošenje cementnog šprica, žbukanje, postavu kutnih profila i završno zaglađivanje. Uključiti sav materijal, rad i alat za rad do potpune gotovosti. Rabic pletivo je obračunato zasebnom stavkom za unutarnje zidove.</t>
  </si>
  <si>
    <t>6a.</t>
  </si>
  <si>
    <t>6b.</t>
  </si>
  <si>
    <t>6c.</t>
  </si>
  <si>
    <t>6d.</t>
  </si>
  <si>
    <t>6e.</t>
  </si>
  <si>
    <t>6f.</t>
  </si>
  <si>
    <t>6g.</t>
  </si>
  <si>
    <t>6h.</t>
  </si>
  <si>
    <t>6i.</t>
  </si>
  <si>
    <t>Rabiciranje staklenom mrežicom. Armirna mrežica je staklena mrežica visoke kvalitete. Mrežica se koristi za armirni sloj i utiskuje se u površinu čeličnim gleterom. Mrežica se mora utisnuti u zadnju trećinu debljine armirnog sloja. Utiskuje se „mokro na mokro“ s minimalno 10 cm preklapanja. Mrežica se prekriva s 1 mm ljepila. Nakon postavljene površine mrežice, višak mrežice se odreže. Nakon završetka izrade mrežica ne smije biti vidljiva.  U cijenu stavke uključen je sav potreban rad, materijal, faktori i transport.</t>
  </si>
  <si>
    <t>7a.</t>
  </si>
  <si>
    <t>7b.</t>
  </si>
  <si>
    <t>7c.</t>
  </si>
  <si>
    <r>
      <rPr>
        <b/>
        <sz val="10"/>
        <rFont val="Arial"/>
        <family val="2"/>
      </rPr>
      <t>Sanacija i popravak zidova zapunjavanjem sljubnica i pukotina</t>
    </r>
    <r>
      <rPr>
        <sz val="10"/>
        <rFont val="Arial"/>
        <family val="2"/>
        <charset val="238"/>
      </rPr>
      <t xml:space="preserve"> mortom na bazi bescementnih veziva kategorije CS II prema HRN EN 998-1, uz μ&lt;10 oko oštećenja na zidovima koji se planiraju torkretirati. Prije nanošenja morta potrebno je očistiti sve četkom, otprašiti i zasititi podlogu vodom, u svrhu sprečavanja upijanja vode iz žbuke od strane podloge. Mjesta koja se popravljaju mogu se odmah izravnati sa žlicom, gleterom, gladilicom odnosno žlicom za sljubnice, lagano pritiskajući za poboljšanje prionjivosti tako da ostane jedna zatvorena površina. Višak morta ukloniti odmah nakon ugradnje. Zidovi visine do 400 cm. Obračun po m</t>
    </r>
    <r>
      <rPr>
        <vertAlign val="superscript"/>
        <sz val="10"/>
        <rFont val="Arial"/>
        <family val="2"/>
      </rPr>
      <t xml:space="preserve">2 </t>
    </r>
    <r>
      <rPr>
        <sz val="10"/>
        <rFont val="Arial"/>
        <family val="2"/>
      </rPr>
      <t xml:space="preserve">. </t>
    </r>
    <r>
      <rPr>
        <b/>
        <sz val="10"/>
        <rFont val="Arial"/>
        <family val="2"/>
      </rPr>
      <t>Procjenjeno da je potrebno sanirati oko 10% površine zidova jer je su tu i oštećenja.</t>
    </r>
  </si>
  <si>
    <t>podrum</t>
  </si>
  <si>
    <t>Mort na bazi vapna ili cementa, kompatibilan sa bilo kojom vrstom opeke i tlačne čvrstoće jednake ili veće od 8 MPa, npr. mortovi na bazi vapna ili NHL-a kao npr. RÖFIX SismaCalce ili RÖFIX SismaDur (10,18,20,30 ili SLIM) ili jednakovrijedan proizvod. Izvest u debljini do 30 mm. U stavci uračunati i materijal i rad.</t>
  </si>
  <si>
    <r>
      <t xml:space="preserve">Mreža u GFRP, čije se šipke sastoje od dugih staklenih vlakana impregniranih termoreaktivnom smolom epoksidnog tipa vinilestera. Pri formiranju mreže vlakna iz dva smjera pletu se pod pravim kutom tako da se stvara monolitna mreža.                                                                                   Tip T96AR: Mreža prosječne debljine </t>
    </r>
    <r>
      <rPr>
        <b/>
        <sz val="10"/>
        <rFont val="Arial"/>
        <family val="2"/>
      </rPr>
      <t>3mm</t>
    </r>
    <r>
      <rPr>
        <sz val="10"/>
        <rFont val="Arial"/>
        <family val="2"/>
      </rPr>
      <t>, nominalnog presjeka jedne šipke unutar mreže od 10 mm2, mreža veličine okna 33x33 mm /</t>
    </r>
    <r>
      <rPr>
        <b/>
        <sz val="10"/>
        <rFont val="Arial"/>
        <family val="2"/>
      </rPr>
      <t xml:space="preserve"> 66x66 mm</t>
    </r>
    <r>
      <rPr>
        <sz val="10"/>
        <rFont val="Arial"/>
        <family val="2"/>
      </rPr>
      <t xml:space="preserve"> / 99x99 mm, vlačne čvrstoće šipke 3,5 kN, izduljenje pri slomu iznosi 1,5%, prosječne vlačne aksijalne čvrstoće šipke EA od 230 kN, reakcije na požar* A2 i kalorijske vrijednosti 7,99 MJ/kg.                                                      Tip T192AR: Mreža prosječne debljine 5mm, nominalnog presjeka jedne šipke unutar mreže od 20 mm2, mreža veličine okna 66x66 mm / 99x99 mm, vlačne čvrstoće šipke 5,7 kN, izduljenje pri slomu iznosi 1,1%, prosječne vlačne aksijalne čvrstoće šipke EA od 540 kN, reakcije na požar* A2 i kalorijske vrijednosti 7,99 MJ/kg.                                                         * Napomena: Procijenjeno je da ukoliko uzimamo u obzir npr. mrežicu FB MESH 66x66T96AR umetnutu u sloj morta NHL 8MPa debljine 30 mm tada požarnu otpornost možemo klasificirati u A1 razred. U stavci uračunati i materijal i rad.</t>
    </r>
  </si>
  <si>
    <t>Odabrani sustav:__________________________</t>
  </si>
  <si>
    <t>11a.</t>
  </si>
  <si>
    <t>11b.</t>
  </si>
  <si>
    <t>11c.</t>
  </si>
  <si>
    <t>11d.</t>
  </si>
  <si>
    <t>11e.</t>
  </si>
  <si>
    <t>Konektor u obliku slova L u GFRP od strane Fibre Net-a za spajanje mreže FBMESH na zidove, izrađen od AR (alkalno otpornog) staklenog vlakna, prethodno zategnut i impregniran termoreaktivnom smolom epoksidnog tipa vinilestera.                                                 Karakteristike:  Veličina konektora: dulja strana je 10-100 cm, kraća strana je 10 cm, poprečnog presjeka 10x7 mm, vlačne čvrstoće šipke 31 kN, izduljenje pri slomu iznosi 1,7%, prosječne vlačne aksijalne čvrstoće šipke EA od 1847 kN. U stavci uračunati i materijal i rad.</t>
  </si>
  <si>
    <t>12a.</t>
  </si>
  <si>
    <t>12b.</t>
  </si>
  <si>
    <t>12c.</t>
  </si>
  <si>
    <t>12d.</t>
  </si>
  <si>
    <t>12e.</t>
  </si>
  <si>
    <t>Strojno špricanje ili ručno nanošenje grube i fine žbuke s  unutarnje strane zidova produžnom žbukom 1:3:9 u slojevima ukupne debljine 2 cm za grubi sloj i 0,5 cm za fini sloj žbuke. Stavka obhvaća prethodno žbukanju nanošenje cementnog šprica, žbukanje, postavu kutnih profila, utiskivanje rabiciranog pletiva i završno zaglađivanje. Uključiti sav materijal, rad i alat za rad do potpune gotovosti. Rabic pletivo je obračunato zasebnom stavkom.</t>
  </si>
  <si>
    <t>13d.</t>
  </si>
  <si>
    <t>13e.</t>
  </si>
  <si>
    <t>14d.</t>
  </si>
  <si>
    <t>Strojno špricanje ili ručno nanošenje grube i fine žbuke s  unutarnje strane zabata gdje se ušlicavaju serklaži produžnom žbukom 1:3:9 u slojevima ukupne debljine 2 cm za grubi sloj i 0,5 cm za fini sloj žbuke. Stavka obhvaća prethodno žbukanju nanošenje cementnog šprica, žbukanje, postavu kutnih profila, utiskivanje rabiciranog pletiva i završno zaglađivanje. Uključiti sav materijal, rad i alat za rad do potpune gotovosti. Rabic pletivo je obračunato zasebnom stavkom.</t>
  </si>
  <si>
    <t>16a.</t>
  </si>
  <si>
    <t>zabat ulične zgrade u osi 1</t>
  </si>
  <si>
    <t>16b.</t>
  </si>
  <si>
    <t>zabat ulične zgrade u osi 7</t>
  </si>
  <si>
    <t>16c.</t>
  </si>
  <si>
    <t>zabata dvorišne zgrade u osi 1</t>
  </si>
  <si>
    <t>16d.</t>
  </si>
  <si>
    <t>zabata dvorišne zgrade u osi 7</t>
  </si>
  <si>
    <t>17c.</t>
  </si>
  <si>
    <t>17d.</t>
  </si>
  <si>
    <t>ZIDARSKI RADOVI UKUPNO</t>
  </si>
  <si>
    <t>IV</t>
  </si>
  <si>
    <t>BETONSKI I ARMIRANOBETONSKI RADOVI</t>
  </si>
  <si>
    <t>Dobava i ugradnja anker šipki za povezivanje postojećih temelja i novih temeljnih traka za torkret. Sidra se izvode iz betonskog rebrastog čelika B500B promjera Ø14 mm, dužine do 65 cm (30 cm u postojećem temelju a 25+10 u novom AB temelju) i ugrađuju se u gornju zonu i donju zonu na dva mjesta, svakih 50 cm. Uključivo bušenje rupa promjera do Ø16 i dužine oko 35 cm u postojećim temeljima i ugradnja utiskivanjem sidara epoxy smolom u rupu. Sidra se ugrađuju prije izvođenja novog AB temelja. U cijenu uključen sav potrebni materijal i rad.</t>
  </si>
  <si>
    <t xml:space="preserve"> Ø14; L = 65 cm, n = 60 kom                                        duljina sidrenja = 45 m</t>
  </si>
  <si>
    <t>Dobava i izvedba  AB temeljne trake, dimenzija b/h = 30/30 cm. Kvaliteta betona C35/45, zaštitni sloj c = 4 cm. Uključen materijal i rad u stavku.</t>
  </si>
  <si>
    <t xml:space="preserve">beton C35/45 </t>
  </si>
  <si>
    <r>
      <t>m</t>
    </r>
    <r>
      <rPr>
        <vertAlign val="superscript"/>
        <sz val="10"/>
        <rFont val="Arial"/>
        <family val="2"/>
        <charset val="238"/>
      </rPr>
      <t>3</t>
    </r>
  </si>
  <si>
    <r>
      <t>armatura (150 kg/m</t>
    </r>
    <r>
      <rPr>
        <vertAlign val="superscript"/>
        <sz val="10"/>
        <rFont val="Arial"/>
        <family val="2"/>
      </rPr>
      <t>3</t>
    </r>
    <r>
      <rPr>
        <sz val="10"/>
        <rFont val="Arial"/>
        <family val="2"/>
        <charset val="238"/>
      </rPr>
      <t>)</t>
    </r>
  </si>
  <si>
    <r>
      <t xml:space="preserve">ankeri za torket </t>
    </r>
    <r>
      <rPr>
        <sz val="10"/>
        <rFont val="Symbol"/>
        <family val="1"/>
        <charset val="2"/>
      </rPr>
      <t>f</t>
    </r>
    <r>
      <rPr>
        <sz val="10"/>
        <rFont val="Arial"/>
        <family val="2"/>
      </rPr>
      <t>12/15 cm</t>
    </r>
  </si>
  <si>
    <r>
      <t>Dobava i ugradnja betona za torkretiranje postojećih zidanih zidova koji se planiraju torkretirati. Torkretiranje izvesti jednostrano po unutarnjem obodu zidova  slojem debljine 6 cm. Unutar stavke potrebno uračunati sav potreban materijal i rad, armaturne mreže Q335  i drugi elementi koji su detaljno opisani u projektu sanacije. Torkret je potrebno usidriti u postojeći zidani zid šipkama ∅12 (9 kom po m</t>
    </r>
    <r>
      <rPr>
        <vertAlign val="superscript"/>
        <sz val="10"/>
        <rFont val="Arial"/>
        <family val="2"/>
      </rPr>
      <t>2</t>
    </r>
    <r>
      <rPr>
        <sz val="10"/>
        <rFont val="Arial"/>
        <family val="2"/>
        <charset val="238"/>
      </rPr>
      <t>). Sidrene šipke je potrebno postaviti prije polaganja armaturne mreže te prema skici savinuti nakon postavljanja mreže. Nakon savijanja šipke pristupa se ugradnji mlaznog betona kvalitete C35/45 mlaznim postupkom optimalno, a ako se ne može, ručno nanositi. Obračun po m</t>
    </r>
    <r>
      <rPr>
        <vertAlign val="superscript"/>
        <sz val="10"/>
        <rFont val="Arial"/>
        <family val="2"/>
      </rPr>
      <t>2</t>
    </r>
    <r>
      <rPr>
        <sz val="10"/>
        <rFont val="Arial"/>
        <family val="2"/>
        <charset val="238"/>
      </rPr>
      <t xml:space="preserve">. Cijenom treba obuhvatiti kompletan rad. </t>
    </r>
  </si>
  <si>
    <t>beton C35/45</t>
  </si>
  <si>
    <r>
      <t>m</t>
    </r>
    <r>
      <rPr>
        <vertAlign val="superscript"/>
        <sz val="10"/>
        <rFont val="Arial"/>
        <family val="2"/>
        <charset val="238"/>
      </rPr>
      <t>2</t>
    </r>
  </si>
  <si>
    <r>
      <t>mreža Q335 - 5,38 kg/m</t>
    </r>
    <r>
      <rPr>
        <vertAlign val="superscript"/>
        <sz val="10"/>
        <rFont val="Arial"/>
        <family val="2"/>
      </rPr>
      <t>2</t>
    </r>
  </si>
  <si>
    <r>
      <t>sidra ∅12 za sidrenje torkreta - 9 kom/m</t>
    </r>
    <r>
      <rPr>
        <vertAlign val="superscript"/>
        <sz val="10"/>
        <rFont val="Arial"/>
        <family val="2"/>
      </rPr>
      <t>2</t>
    </r>
    <r>
      <rPr>
        <sz val="10"/>
        <rFont val="Arial"/>
        <family val="2"/>
        <charset val="238"/>
      </rPr>
      <t xml:space="preserve">                                 L = 35cm</t>
    </r>
  </si>
  <si>
    <t>dodatna armatura oko otvora i u uglovima - ∅12 (25% od potrebne armature)</t>
  </si>
  <si>
    <r>
      <t>Dobava i izvedba šlicanja AB serklaža dimenzija 15x15cm za potrebe sidrenja torkreta u području stubišnih krakova. Uzdužna armatura 4</t>
    </r>
    <r>
      <rPr>
        <sz val="10"/>
        <rFont val="Symbol"/>
        <family val="1"/>
        <charset val="2"/>
      </rPr>
      <t xml:space="preserve">f </t>
    </r>
    <r>
      <rPr>
        <sz val="10"/>
        <rFont val="Arial"/>
        <family val="2"/>
      </rPr>
      <t>12</t>
    </r>
    <r>
      <rPr>
        <sz val="10"/>
        <rFont val="Arial"/>
        <family val="2"/>
        <charset val="238"/>
      </rPr>
      <t>, poprečna</t>
    </r>
    <r>
      <rPr>
        <sz val="10"/>
        <rFont val="Symbol"/>
        <family val="1"/>
        <charset val="2"/>
      </rPr>
      <t xml:space="preserve"> f</t>
    </r>
    <r>
      <rPr>
        <sz val="10"/>
        <rFont val="Arial"/>
        <family val="2"/>
        <charset val="238"/>
      </rPr>
      <t xml:space="preserve">8/20cm. Kvaliteta betona C30/37, zaštitni sloj c=2,5cm. </t>
    </r>
  </si>
  <si>
    <t>armatura</t>
  </si>
  <si>
    <t xml:space="preserve">Dobava i ugradnja sidara za flahove s postojećim zidovima. Sidra se izvode iz betonskog rebrastog čelika B500B promjera Ø22 mm, dužine do 30 cm (20 cm u zidu i 10 cm za duljinu zavara za flah). Uključivo bušenje rupa promjera do Ø22 i dužine 2/3*t u zidovima od pune opeke i ugradnja utiskivanjem sidara u iste s odgovarajućim ekspanzivni mortom. Sidra se ugrađuju prije ugradnje flahova. U cijenu uključen sav potrebni materijal i rad. </t>
  </si>
  <si>
    <t>šipke Ø 20, L = 30 cm, n = 34</t>
  </si>
  <si>
    <t>pod 2. kata ulične zgrade</t>
  </si>
  <si>
    <t xml:space="preserve">Dobava i ugradnja sidara za povezivanje tlačne ploče s postojećim zidovima i postojećim ojačanjem u podu potkrovlja. Sidra se izvode iz betonskog rebrastog čelika B500B promjera Ø14 mm, dužine do 100 cm (20 cm u zidu i 80 cm za duljinu preklopa s mrežom) i ugrađuju se između dva grednika (prema skicama) tj. na svakih 50 cm. Uključivo bušenje rupa promjera do Ø18 i dužine 2/3*t u zidovima od pune opeke i ugradnja utiskivanjem sidara u iste s odgovarajućim ekspanzivni mortom. Sidra se ugrađuju prije ugradnje armature tlačne ploče i betoniranja iste. U cijenu uključen sav potrebni materijal. </t>
  </si>
  <si>
    <t xml:space="preserve"> Ø14; L = 100 cm, n = 300 kom,                               duljina ubušavanja = 94,1 m</t>
  </si>
  <si>
    <t>Dobava i izvedba armirano betonske spregnute tlačne ploče betonom min C25/30, debljine 6 cm, granulirani agregat. Oplata glatka, ostaje ispod tlačne ploče. Ploča se betonira i spreže s drvenim grednicima poda prizemlja. Spojna sredstva je armaturna šipka Ø16, kvalitete čelika B500B,u epoxy ljepilu na razmaku od 15cm u predbušenim rupama u grednicima. Razmak u  sredini raspona postaviti na 20 cm udaljenosti. Šipka je duljine 20 cm od toga je 10 cm unutar grednika, ostatak prolazi kroz oplatu u betonsku ploču. Armatura tlačne ploče je Q188. Beton je potrebno kod ugradbe vibrirati, da nestanu gnijezda (segregirani dio). Segregaciju sanira izvođač o svom trošku.
Prije izvedbe izvršiti će se ugradnja vijaka za sprezanje ab ploče sa drvenim grednicima. Njega betona u periodu od 20 dana su u cijeni stavke. Obračun po m3. Cijenom treba obuhvatiti kompletan rad. Spojna sredstva su pretpostavljene količine, jer se ne zna točan broj grednika.</t>
  </si>
  <si>
    <r>
      <t>AB ploča debljine t = 6 cm, A = 170 m</t>
    </r>
    <r>
      <rPr>
        <vertAlign val="superscript"/>
        <sz val="10"/>
        <rFont val="Arial"/>
        <family val="2"/>
      </rPr>
      <t>2</t>
    </r>
  </si>
  <si>
    <t xml:space="preserve">Dobava, siječenje, savijanje i ugradnja armature  kvalitete čelika B500B.  Armatura su rebraste armaturne mreže. Prilikom ugradnje voditi računa o preklopu armature. Obračun po kg. Cijenom treba obuhvatiti kompletan rad. Prethodno betoniranju obavezan je pregled izvedenih armiračkih radova od strane nadzornog inženjera. </t>
  </si>
  <si>
    <r>
      <t>armaturna mreža Q188 (3,03 kg/m</t>
    </r>
    <r>
      <rPr>
        <vertAlign val="superscript"/>
        <sz val="10"/>
        <rFont val="Arial"/>
        <family val="2"/>
      </rPr>
      <t>2</t>
    </r>
    <r>
      <rPr>
        <sz val="10"/>
        <rFont val="Arial"/>
        <family val="2"/>
        <charset val="238"/>
      </rPr>
      <t>)</t>
    </r>
  </si>
  <si>
    <t xml:space="preserve">Dobava i ugradnja spojnih sredstava vijaka za sprezanje drveta i betona ili armaturnih šipki Ø16mm., kvalitete čelika B500B,u epoxy ljepilu na razmaku od 15cm u predbušenim rupama u grednicima. Razmak u  sredini raspona postaviti na 20 cm udaljenosti. Šipka je duljine min 35 cm od toga je min 15 cm unutar grednika, ostatak prolazi kroz oplatu u betonsku ploču.  Šipke se postavljaju pod kutem od 45 stupnjeva. U cijenu uključen sav potrebni materijal. </t>
  </si>
  <si>
    <r>
      <t xml:space="preserve">spojna sredstva Ø16, L=35 </t>
    </r>
    <r>
      <rPr>
        <sz val="10"/>
        <rFont val="Arial"/>
        <family val="2"/>
      </rPr>
      <t xml:space="preserve">cm                                           broj grednika ≈ 26 kom po 5,35 m i 26 kom po 3,85 m </t>
    </r>
    <r>
      <rPr>
        <sz val="10"/>
        <rFont val="Calibri"/>
        <family val="2"/>
      </rPr>
      <t>→</t>
    </r>
    <r>
      <rPr>
        <sz val="11"/>
        <rFont val="Arial"/>
        <family val="2"/>
      </rPr>
      <t xml:space="preserve"> </t>
    </r>
    <r>
      <rPr>
        <sz val="10"/>
        <rFont val="Arial"/>
        <family val="2"/>
      </rPr>
      <t>n = 1450</t>
    </r>
  </si>
  <si>
    <t>Sidra ∅14 na 50 cm, ubušena kroz nosivi zid, zbog povezivanja polja tlačne ploče , L = 200 cm. Rupu zapuniti epoxy smolom.</t>
  </si>
  <si>
    <t xml:space="preserve"> Ø14; L = 200 cm, n = 53 kom</t>
  </si>
  <si>
    <t>pod potkrovlja ulične zgrade</t>
  </si>
  <si>
    <t xml:space="preserve"> Ø14; L = 200 cm, n = 45 kom</t>
  </si>
  <si>
    <t>pod 3. kata dvorišne zgrade</t>
  </si>
  <si>
    <t xml:space="preserve"> Ø14; L = 100 cm, n = 300 kom,                               duljina ubušavanja = 92 m</t>
  </si>
  <si>
    <r>
      <t>AB ploča debljine t = 6 cm, A = 150 m</t>
    </r>
    <r>
      <rPr>
        <vertAlign val="superscript"/>
        <sz val="10"/>
        <rFont val="Arial"/>
        <family val="2"/>
      </rPr>
      <t>2</t>
    </r>
  </si>
  <si>
    <r>
      <t xml:space="preserve">spojna sredstva Ø16, L=35 </t>
    </r>
    <r>
      <rPr>
        <sz val="10"/>
        <rFont val="Arial"/>
        <family val="2"/>
      </rPr>
      <t xml:space="preserve">cm                                           broj grednika ≈ 20 kom po 3,37 m i 24 kom po 5,08 m </t>
    </r>
    <r>
      <rPr>
        <sz val="10"/>
        <rFont val="Calibri"/>
        <family val="2"/>
      </rPr>
      <t>→</t>
    </r>
    <r>
      <rPr>
        <sz val="11"/>
        <rFont val="Arial"/>
        <family val="2"/>
      </rPr>
      <t xml:space="preserve"> </t>
    </r>
    <r>
      <rPr>
        <sz val="10"/>
        <rFont val="Arial"/>
        <family val="2"/>
      </rPr>
      <t>n = 1150</t>
    </r>
  </si>
  <si>
    <t xml:space="preserve"> Ø14; L = 200 cm, n = 44 kom</t>
  </si>
  <si>
    <t>ravni krov dvorišne zgrade</t>
  </si>
  <si>
    <t>25.</t>
  </si>
  <si>
    <t xml:space="preserve"> Ø14; L = 200 cm, n = 50 kom</t>
  </si>
  <si>
    <t>Sidra ∅14 za sidrenje CRM u temelje na svakih 50 cm , L = 100 cm. Rupu zapuniti epoxy smolom.</t>
  </si>
  <si>
    <t>zid u osi f (ojačanje izvana) - duljina sidrenja                       L = 17 m</t>
  </si>
  <si>
    <t>27.</t>
  </si>
  <si>
    <t>Rebraste šipke B500B, ∅8/15 za povezivanje CRM obloge između etaža , L = 150 cm.</t>
  </si>
  <si>
    <t>zid u osi f (ojačanje izvana) - 4 prekida</t>
  </si>
  <si>
    <t>28.</t>
  </si>
  <si>
    <t xml:space="preserve">Dobava i ugradnja sidara za povezivanje vertikalnog serklaža i postojećeg zabata. Sidra se izvode iz betonskog rebrastog čelika B500B promjera Ø14 mm, dužine L = 60 cm (30 cm u ziđu i 20+10 cm u armaturnom košu) i ugrađuju se na svakih 50 cm. Uključivo bušenje rupa promjera do Ø18. Sidra se ugrađuju prije ugradnje armature serklaža i betoniranja iste. U cijenu uključen sav potrebni materijal. </t>
  </si>
  <si>
    <t>28a.</t>
  </si>
  <si>
    <t>4 vertikalna serklaža ulične zgrade u osi 1</t>
  </si>
  <si>
    <t xml:space="preserve"> Ø14; L = 60 cm, n = 16 kom/serklažu, 4 komada sekrlaža</t>
  </si>
  <si>
    <t>28b.</t>
  </si>
  <si>
    <t>4 vertikalna serklaža ulične zgrade u osi 7</t>
  </si>
  <si>
    <t>29.</t>
  </si>
  <si>
    <t xml:space="preserve">Dobava materijala, priprema  i ugradnja betona za vertikalne serklaže zida zabatima, razred betona C25/35, granulirani agregat. Dimenzije 25x25 cm, visina do 4 m. Najveće zrno agregata do 32 mm. Oplata glatka.  Beton je potrebno kod ugradbe vibrirati, da nestanu gnijezda (segregirani dio). Segregirani dio izvođač snosi popravak na svoj trošak. Sva eventualna potrebna podupiranja i njega betona u periodu od 20 dana su u cijeni stavke. Obračun po m3. Cijenom treba obuhvatiti kompletan rad. Betoniranje se izvodi samo nakon odobrenja nadzornog inženjera. 
U stavku uključeno dobava, siječenje, savijanje i ugradnja armature  kvalitete čelika B500B. Obračun po kg. Cijenom treba obuhvatiti kompletan rad. Prethodno betoniranju obavezan je pregled izvedenih armiračkih radova od strane nadzornog inženjera. </t>
  </si>
  <si>
    <t>29a.</t>
  </si>
  <si>
    <t>beton</t>
  </si>
  <si>
    <r>
      <t>armatura za serklaže (120 kg/m</t>
    </r>
    <r>
      <rPr>
        <vertAlign val="superscript"/>
        <sz val="10"/>
        <rFont val="Arial"/>
        <family val="2"/>
      </rPr>
      <t>3</t>
    </r>
    <r>
      <rPr>
        <sz val="10"/>
        <rFont val="Arial"/>
        <family val="2"/>
        <charset val="238"/>
      </rPr>
      <t>)</t>
    </r>
  </si>
  <si>
    <t>29b.</t>
  </si>
  <si>
    <t>30.</t>
  </si>
  <si>
    <t>Dobava, doprema i ugradnja trajnih geomehaničkih sidra, minimalnog vanjskog promjera 51 mm, s antikorozivnom zaštitom. Ugrađuju se  sidra duljine L = 4 m. Sidra su minimalne granice popuštanja 530 kN, od čelika minimalne kvalitete 500/550 N/mm2. Za sva sidra izvođač radova je dužan pribaviti atestnu dokumentaciju od ovlaštene institucije prije ugradnje sidara. U stavku je uključena nabava sidra, bušenje, ugradnja i injektiranje, čel pločevinu 200x200x30mm te sve potrebno za izvedbu do potpune gotovosti. Stavka obuhvaća sva potrebna sredstva, materijal i rad.</t>
  </si>
  <si>
    <t xml:space="preserve"> - temeljna traka - sidra promjera 51 mm,L = 4 m</t>
  </si>
  <si>
    <t>BETONSKI I AB RADOVI UKUPNO</t>
  </si>
  <si>
    <t>V</t>
  </si>
  <si>
    <t>METALNA KONSTRUKCIJA</t>
  </si>
  <si>
    <t>Dobava i ugradnja čeličnih flahova dim. 80x8mm, duljine do 1,50 m i ostalih duljina, kv.čelika S235. U nosivi zid potrebno je izbušiti rupu Ø 22 mm koja se popunjava epoksidnim ljepilom, te se ugrađuje anker Ø 20mm. Dužina ankera koja je potrebna za dijalogonalni ulaz u zid iznosi 30 cm, 10 cm je zavarena za flah. Ukupna duljina sidra iznosi 50 cm. Na samom gradilištu vare se ankeri za čelični flah. Na oplati potrebno je izbušiti rupe na razmaku od 25 cm dijagonalno za ugradnju vijaka. Flah, čije su dimenzije presjeka 8 x 80 mm (S235) spreže se vijcima u daščanu konstrukciju.  Kao spojno sredstvo koristiti će se vijci za drvo Ø12/70mm kv.5.8 za svaki spoj grednika i flaha po 4 komada prema nacrtu. Dodatno se sidri donja oplata s grednicima s vijcima M10x100.</t>
  </si>
  <si>
    <t>čelični flah b/h=80/8 mm, S235,                                      36 komada do 1,5 m</t>
  </si>
  <si>
    <t>vijci M12/70, kv. 5.8. , n=4 kom/m' flaha</t>
  </si>
  <si>
    <t xml:space="preserve">čavli s navojem 10x100 mm </t>
  </si>
  <si>
    <t>METALNA KONSTRUKCIJA UKUPNO:</t>
  </si>
  <si>
    <t>VI</t>
  </si>
  <si>
    <t>TESARSKI RADOVI</t>
  </si>
  <si>
    <t>Dobava, montaža i demontaža s učvršćivanjem oplate za bočnu jednu stranu AB temelja torkreta zidova stubišta. Oplata mora biti glatka i špricana protiv ljepljenja. Obračun po kompletu. Uključiti sav materijal, rad i alat za rad do potpune gotovosti. Oplata nužna uz tri slobodne stranice serklaža. Obračun prema dokaznici stvarno izvedenih radova ovjerenog od strane nadzornog inženjera.</t>
  </si>
  <si>
    <r>
      <t xml:space="preserve">- oplata visine 30 cm, duljine L </t>
    </r>
    <r>
      <rPr>
        <sz val="10"/>
        <rFont val="Calibri"/>
        <family val="2"/>
      </rPr>
      <t>≈</t>
    </r>
    <r>
      <rPr>
        <sz val="10"/>
        <rFont val="Arial"/>
        <family val="2"/>
      </rPr>
      <t xml:space="preserve"> 45 m</t>
    </r>
  </si>
  <si>
    <t xml:space="preserve">Dobava, montaža i izvedba nove daščane oplate za izvedbu tlačne AB ploče. Drvena oplata su daske visine 24mm od punog drva. </t>
  </si>
  <si>
    <t>pod 2. kata ulične zgrade,d = 24 mm, C24</t>
  </si>
  <si>
    <t>pod potkrovlja ulične zgrade,d = 24 mm, C24</t>
  </si>
  <si>
    <t>pod 3. kata dvorišne zgrade,d = 24 mm, C24</t>
  </si>
  <si>
    <t>ravni krov dvorišne zgrade,d = 24 mm, C24</t>
  </si>
  <si>
    <t>Dobava, montaža i demontaža s učvršćivanjem oplate za vertikalne serklaže zabata. Oplata mora biti glatka i špricana protiv ljepljenja. Obračun po kompletu. Uključiti sav materijal, rad i alat za rad do potpune gotovosti. Oplata nužna uz dvije slobodne stranice serklaža. Obračun prema dokaznici stvarno izvedenih radova ovjerenog od strane nadzornog inženjera.</t>
  </si>
  <si>
    <t>4 vertikalna serklaža dvorišne zgrade u osi 1</t>
  </si>
  <si>
    <t>TESARSKI RADOVI UKUPNO:</t>
  </si>
  <si>
    <t>VII</t>
  </si>
  <si>
    <t>IZOLATERSKI RADOVI</t>
  </si>
  <si>
    <t>bitumenska ljepenka</t>
  </si>
  <si>
    <t>šljunak do 5 cm</t>
  </si>
  <si>
    <t>IZOLATERSKI RADOVI UKUPNO:</t>
  </si>
  <si>
    <t>VIII</t>
  </si>
  <si>
    <t>GIPSKARTONSKI RADOVI</t>
  </si>
  <si>
    <t>* gipskartonski radovi na stropovima koji se ojačavaju su alternativa žbukanju</t>
  </si>
  <si>
    <t>Izrada ravnog spuštenog stropa od 1x1 GK ploča sa spuštanjem do 50,00 cm na pocinčanu podkonstrukciju i priprema do ličenja. U cijenu su uključeni komplet rad i materijal.</t>
  </si>
  <si>
    <t>strop 3. kata dvorišne zgrade-podgled</t>
  </si>
  <si>
    <t>GIPSKARTONSKI RADOVI UKUPNO:</t>
  </si>
  <si>
    <t>IX</t>
  </si>
  <si>
    <t>PODOPOLAGAČKI RADOVI</t>
  </si>
  <si>
    <r>
      <t xml:space="preserve">Vraćanje slojeva poda u stanu na </t>
    </r>
    <r>
      <rPr>
        <b/>
        <sz val="10"/>
        <rFont val="Arial"/>
        <family val="2"/>
      </rPr>
      <t>2. katu ulične zgrad</t>
    </r>
    <r>
      <rPr>
        <sz val="10"/>
        <rFont val="Arial"/>
        <family val="2"/>
        <charset val="238"/>
      </rPr>
      <t>e. Slojevi poda su plivajući pod te izravnavajući sloj. U cijenu su uključeni komplet rad i materijal.</t>
    </r>
  </si>
  <si>
    <t>bitumenski premaz na postojećoj oplati</t>
  </si>
  <si>
    <t>plivajući pod od lakšeg materijala sa XPS-om</t>
  </si>
  <si>
    <t>izravnavajući sloj</t>
  </si>
  <si>
    <t>završni sloj</t>
  </si>
  <si>
    <r>
      <t xml:space="preserve">Vraćanje slojeva poda u stanu na </t>
    </r>
    <r>
      <rPr>
        <b/>
        <sz val="10"/>
        <rFont val="Arial"/>
        <family val="2"/>
      </rPr>
      <t>podu potkrovlja ulične zgrad</t>
    </r>
    <r>
      <rPr>
        <sz val="10"/>
        <rFont val="Arial"/>
        <family val="2"/>
        <charset val="238"/>
      </rPr>
      <t>e. Slojevi poda su plivajući pod te izravnavajući sloj. U cijenu su uključeni komplet rad i materijal.</t>
    </r>
  </si>
  <si>
    <r>
      <t>Vraćanje slojeva poda u stanu na</t>
    </r>
    <r>
      <rPr>
        <b/>
        <sz val="10"/>
        <rFont val="Arial"/>
        <family val="2"/>
      </rPr>
      <t xml:space="preserve"> 3. katu dvorišne zgrad</t>
    </r>
    <r>
      <rPr>
        <sz val="10"/>
        <rFont val="Arial"/>
        <family val="2"/>
        <charset val="238"/>
      </rPr>
      <t>e. Slojevi poda su plivajući pod te izravnavajući sloj. U cijenu su uključeni komplet rad i materijal.</t>
    </r>
  </si>
  <si>
    <t>PODOPOLAGAČKI RADOVI UKUPNO:</t>
  </si>
  <si>
    <t>R E K A P I T U L A C I J A</t>
  </si>
  <si>
    <t>DEMONTAŽA, RUŠENJA, PRIPREME</t>
  </si>
  <si>
    <t>UKUPNO:</t>
  </si>
  <si>
    <t>PDV 25%</t>
  </si>
  <si>
    <t>SVEUKUPNO:</t>
  </si>
  <si>
    <t>GBP:</t>
  </si>
  <si>
    <t>POVRAT:</t>
  </si>
  <si>
    <t>Režijski rad po potrebi za pripomoć obrtnicima  koji će se obračunati po stvarnom utrošku rada i materijala prema ovjeri nadzora.</t>
  </si>
  <si>
    <t>NKV</t>
  </si>
  <si>
    <t>h</t>
  </si>
  <si>
    <t>KV</t>
  </si>
  <si>
    <t xml:space="preserve">Razni nepredviđeni radovi koji se mogu pojaviti u toku izvođenja radova. Radovi se izvode po nalogu nadzornog inženjera, i obračunavaju se prema stvarno izvedenim radovima. </t>
  </si>
  <si>
    <t>Instalacije koje ometaju predviđeno ojačanje i potrebno ih je izmjestiti</t>
  </si>
  <si>
    <t>demontaža instalacija po zidu za torket u dvorištu c-d-1-2  (obračun po satu rada)</t>
  </si>
  <si>
    <t>ugradnja instalacija po zidu za torket u dvorištu c-d-1-2  (obračun po satu rada)</t>
  </si>
  <si>
    <t>ugradnja instalacija po zidu za torket u dvorištu c-d-1-2  (obračun po m' materijala)</t>
  </si>
  <si>
    <t>m'</t>
  </si>
  <si>
    <t>odvodi za nape i dimnjake u dvorištu c-d-1-2-demontaža (obračun po satu rada)</t>
  </si>
  <si>
    <t>odvodi za nape i dimnjake u dvorištu c-d-1-2 -vraćanje odvoda (obračun po satu)</t>
  </si>
  <si>
    <t>odvodi za nape i dimnjake u dvorištu c-d-1-2 -vraćanje odvoda (obračun po komadu )</t>
  </si>
  <si>
    <t>demontaža instalacija po zidu za torket stubišta  (obračun po satu rada)</t>
  </si>
  <si>
    <t>ugradnja instalacija po zidu za torket stubišta (obračun po satu rada)</t>
  </si>
  <si>
    <t>ugradnja instalacija po zidu za torket stubišta  (obračun po m' materijala)</t>
  </si>
  <si>
    <t>demontaža instalacija po zidu za ojačanje CRM-om  (obračun po satu rada)</t>
  </si>
  <si>
    <t>ugradnja instalacija po zidu za ojačanje CRM-om (obračun po satu rada)</t>
  </si>
  <si>
    <t>ugradnja instalacija po zidu za ojačanje CRM-om  (obračun po m' materijala)</t>
  </si>
  <si>
    <t>demontaža instalacija po stropu za ojačanje stropa flahovima  (obračun po satu rada)</t>
  </si>
  <si>
    <t>ugradnja instalacija po stropu za ojačanje stropa flahovima  (obračun po satu rada)</t>
  </si>
  <si>
    <t>ugradnja instalacija po stropu za ojačanje stropa flahovima   (obračun po m' materijala)</t>
  </si>
  <si>
    <t>demontaža instalacija po podu  (obračun po satu rada)</t>
  </si>
  <si>
    <t>ugradnja instalacija po podu  (obračun po satu rada)</t>
  </si>
  <si>
    <t>ugradnja instalacija po podu  (obračun po m' materijala)</t>
  </si>
  <si>
    <t>demontaža instalacija po krovu  (obračun po satu rada)</t>
  </si>
  <si>
    <t>ugradnja instalacija po krovu  (obračun po satu rada)</t>
  </si>
  <si>
    <t>ugradnja instalacija po krovu  (obračun po m' materijala)</t>
  </si>
  <si>
    <t>dodatno zagrađivanje zidova zbog neravnina</t>
  </si>
  <si>
    <t>strop prolaza - zamjena dijela grednika ako su trule te obrada ležaja(obračun po satu rada) - pretpostavljeno 20 % površine koja se ojačava</t>
  </si>
  <si>
    <r>
      <t>strop prolaza  - zamjena dijela grednika ako su trule (obračun po m</t>
    </r>
    <r>
      <rPr>
        <vertAlign val="superscript"/>
        <sz val="10"/>
        <rFont val="Arial"/>
        <family val="2"/>
      </rPr>
      <t>3</t>
    </r>
    <r>
      <rPr>
        <sz val="10"/>
        <rFont val="Arial"/>
        <family val="2"/>
        <charset val="238"/>
      </rPr>
      <t xml:space="preserve"> materijala) - pretpostavljeno 20 % površine koja se ojačava</t>
    </r>
  </si>
  <si>
    <t>stan na 2. katu ulične zgrade - zamjena dijela grednika ako su trule te obrada ležaja(obračun po satu rada) - pretpostavljeno 20 % površine koja se ojačava</t>
  </si>
  <si>
    <r>
      <t>stan na 2. katu ulične zgrade  - zamjena dijela grednika ako su trule (obračun po m</t>
    </r>
    <r>
      <rPr>
        <vertAlign val="superscript"/>
        <sz val="10"/>
        <rFont val="Arial"/>
        <family val="2"/>
      </rPr>
      <t>3</t>
    </r>
    <r>
      <rPr>
        <sz val="10"/>
        <rFont val="Arial"/>
        <family val="2"/>
        <charset val="238"/>
      </rPr>
      <t xml:space="preserve"> materijala) - pretpostavljeno 20 % površine koja se ojačava</t>
    </r>
  </si>
  <si>
    <r>
      <t>stan na 2. katu ulične zgrade  - umetanje novih greda ukoliko postojeći razmak je veći od 70 cm i dimenzije postojećih greda su manji od pretpostavljenih 18/18 cm  (obračun po m</t>
    </r>
    <r>
      <rPr>
        <vertAlign val="superscript"/>
        <sz val="10"/>
        <rFont val="Arial"/>
        <family val="2"/>
      </rPr>
      <t>3</t>
    </r>
    <r>
      <rPr>
        <sz val="10"/>
        <rFont val="Arial"/>
        <family val="2"/>
        <charset val="238"/>
      </rPr>
      <t xml:space="preserve"> materijala) - pretpostavljeno 20 % površine koja se ojačava</t>
    </r>
  </si>
  <si>
    <t>potkrovlje ulične zgrade - zamjena dijela grednika ako su trule te obrada ležaja(obračun po satu rada) - pretpostavljeno 20 % površine koja se ojačava</t>
  </si>
  <si>
    <r>
      <t>potkrovlje ulične zgrade  - zamjena dijela grednika ako su trule (obračun po m</t>
    </r>
    <r>
      <rPr>
        <vertAlign val="superscript"/>
        <sz val="10"/>
        <rFont val="Arial"/>
        <family val="2"/>
      </rPr>
      <t>3</t>
    </r>
    <r>
      <rPr>
        <sz val="10"/>
        <rFont val="Arial"/>
        <family val="2"/>
        <charset val="238"/>
      </rPr>
      <t xml:space="preserve"> materijala) - pretpostavljeno 20 % površine koja se ojačava</t>
    </r>
  </si>
  <si>
    <r>
      <t>potkrovlje ulične zgrade  - umetanje novih greda ukoliko postojeći razmak je veći od 70 cm i dimenzije postojećih greda su manji od pretpostavljenih 18/18 cm  (obračun po m</t>
    </r>
    <r>
      <rPr>
        <vertAlign val="superscript"/>
        <sz val="10"/>
        <rFont val="Arial"/>
        <family val="2"/>
      </rPr>
      <t>3</t>
    </r>
    <r>
      <rPr>
        <sz val="10"/>
        <rFont val="Arial"/>
        <family val="2"/>
        <charset val="238"/>
      </rPr>
      <t xml:space="preserve"> materijala) - pretpostavljeno 20 % površine koja se ojačava</t>
    </r>
  </si>
  <si>
    <t>stan na 3. katu dvorišne zgrade - zamjena dijela grednika ako su trule te obrada ležaja(obračun po satu rada) - pretpostavljeno 20 % površine koja se ojačava</t>
  </si>
  <si>
    <r>
      <t>stan na 3. katu dvorišne zgrade  - zamjena dijela grednika ako su trule (obračun po m</t>
    </r>
    <r>
      <rPr>
        <vertAlign val="superscript"/>
        <sz val="10"/>
        <rFont val="Arial"/>
        <family val="2"/>
      </rPr>
      <t>3</t>
    </r>
    <r>
      <rPr>
        <sz val="10"/>
        <rFont val="Arial"/>
        <family val="2"/>
        <charset val="238"/>
      </rPr>
      <t xml:space="preserve"> materijala) - pretpostavljeno 20 % površine koja se ojačava</t>
    </r>
  </si>
  <si>
    <r>
      <t>stan na 3. katu dvorišne zgrade  - umetanje novih greda ukoliko postojeći razmak je veći od 70 cm i dimenzije postojećih greda su manji od pretpostavljenih 18/18 cm  (obračun po m</t>
    </r>
    <r>
      <rPr>
        <vertAlign val="superscript"/>
        <sz val="10"/>
        <rFont val="Arial"/>
        <family val="2"/>
      </rPr>
      <t>3</t>
    </r>
    <r>
      <rPr>
        <sz val="10"/>
        <rFont val="Arial"/>
        <family val="2"/>
        <charset val="238"/>
      </rPr>
      <t xml:space="preserve"> materijala) - pretpostavljeno 20 % površine koja se ojačava</t>
    </r>
  </si>
  <si>
    <t>ravni krov - zamjena dijela grednika ako su trule te obrada ležaja(obračun po satu rada) - pretpostavljeno 20 % površine koja se ojačava</t>
  </si>
  <si>
    <r>
      <t>ravni krov  - zamjena dijela grednika ako su trule (obračun po m</t>
    </r>
    <r>
      <rPr>
        <vertAlign val="superscript"/>
        <sz val="10"/>
        <rFont val="Arial"/>
        <family val="2"/>
      </rPr>
      <t>3</t>
    </r>
    <r>
      <rPr>
        <sz val="10"/>
        <rFont val="Arial"/>
        <family val="2"/>
        <charset val="238"/>
      </rPr>
      <t xml:space="preserve"> materijala) - pretpostavljeno 20 % površine koja se ojačava</t>
    </r>
  </si>
  <si>
    <r>
      <t>ravni krov  - umetanje novih greda ukoliko postojeći razmak je veći od 70 cm i dimenzije postojećih greda su manji od pretpostavljenih 18/18 cm  (obračun po m</t>
    </r>
    <r>
      <rPr>
        <vertAlign val="superscript"/>
        <sz val="10"/>
        <rFont val="Arial"/>
        <family val="2"/>
      </rPr>
      <t>3</t>
    </r>
    <r>
      <rPr>
        <sz val="10"/>
        <rFont val="Arial"/>
        <family val="2"/>
        <charset val="238"/>
      </rPr>
      <t xml:space="preserve"> materijala) - pretpostavljeno 20 % površine koja se ojačava</t>
    </r>
  </si>
  <si>
    <r>
      <t>Dobava materijala, priprema podloge i ličenje do potpune pokrivenosti žbukanih zidova u unutarnjim prostorima poludisperzivnom visokopokrivnom bojom za unutarnje radove, uz prethodno dvostruko fino gletanje i brušenje podloge. U cijeni obrada uglova i impregnacija podloge. Zidovi i stropovi do visine 420 cm, radna skela uračunata u cijenu. Tonovi boje u dogovoru sa vlasnikom. Obračun po m</t>
    </r>
    <r>
      <rPr>
        <vertAlign val="superscript"/>
        <sz val="10"/>
        <rFont val="Arial"/>
        <family val="2"/>
      </rPr>
      <t>2</t>
    </r>
    <r>
      <rPr>
        <sz val="10"/>
        <rFont val="Arial"/>
        <family val="2"/>
      </rPr>
      <t>.</t>
    </r>
  </si>
  <si>
    <t xml:space="preserve"> zidovi stubište kroz sve etaže </t>
  </si>
  <si>
    <r>
      <t xml:space="preserve">- zidovi na kojima su se sanirale pukotine CRM sustavom (pukotine u zidovima u pregradnim zidovima i/ili nosivim zidovima koji nisu posebno obuhvaćeni mjerama za konstruktivno ojačanje ,procijenjeno oko 10% od ukupne tlocrtne površine etaže </t>
    </r>
    <r>
      <rPr>
        <b/>
        <sz val="10"/>
        <rFont val="Arial"/>
        <family val="2"/>
      </rPr>
      <t>prizemlja</t>
    </r>
    <r>
      <rPr>
        <sz val="10"/>
        <rFont val="Arial"/>
        <family val="2"/>
      </rPr>
      <t xml:space="preserve">) </t>
    </r>
  </si>
  <si>
    <r>
      <t xml:space="preserve">- zidovi na kojima su se sanirale pukotine CRM sustavom (pukotine u zidovima u pregradnim zidovima i/ili nosivim zidovima koji nisu posebno obuhvaćeni mjerama za konstruktivno ojačanje (procijenjeno oko 10% od ukupne tlocrtne površine etaže </t>
    </r>
    <r>
      <rPr>
        <b/>
        <sz val="10"/>
        <rFont val="Arial"/>
        <family val="2"/>
      </rPr>
      <t>1.kata</t>
    </r>
    <r>
      <rPr>
        <sz val="10"/>
        <rFont val="Arial"/>
        <family val="2"/>
      </rPr>
      <t>)</t>
    </r>
  </si>
  <si>
    <r>
      <t>- zidovi na kojima su se sanirale pukotine CRM sustavom (pukotine u zidovima u pregradnim zidovima i/ili nosivim zidovima koji nisu posebno obuhvaćeni mjerama za konstruktivno ojačanje (procijenjeno oko 10% od ukupne tlocrtne površine etaže</t>
    </r>
    <r>
      <rPr>
        <b/>
        <sz val="10"/>
        <rFont val="Arial"/>
        <family val="2"/>
      </rPr>
      <t xml:space="preserve"> 2.kata</t>
    </r>
    <r>
      <rPr>
        <sz val="10"/>
        <rFont val="Arial"/>
        <family val="2"/>
      </rPr>
      <t xml:space="preserve">) </t>
    </r>
  </si>
  <si>
    <r>
      <t xml:space="preserve">- zidovi na kojima su se sanirale pukotine CRM sustavom (pukotine u zidovima u pregradnim zidovima i/ili nosivim zidovima koji nisu posebno obuhvaćeni mjerama za konstruktivno ojačanje (procijenjeno oko 10% od ukupne tlocrtne površine etaže </t>
    </r>
    <r>
      <rPr>
        <b/>
        <sz val="10"/>
        <rFont val="Arial"/>
        <family val="2"/>
      </rPr>
      <t>3.kata</t>
    </r>
    <r>
      <rPr>
        <sz val="10"/>
        <rFont val="Arial"/>
        <family val="2"/>
      </rPr>
      <t xml:space="preserve">) </t>
    </r>
  </si>
  <si>
    <t>strop prolaza</t>
  </si>
  <si>
    <t xml:space="preserve">TESARSKI RADOVI </t>
  </si>
  <si>
    <t>SOBOSLIKARSKI I LIČILAČKI RADOVI</t>
  </si>
  <si>
    <t>RUŠENJA, DEMONTAŽE, PRIPREMA -neopravdani troškovi</t>
  </si>
  <si>
    <t>Instalacije koje ometaju predviđeno ojačanje i potrebno ih je izmjestiti -opravdan trošak</t>
  </si>
  <si>
    <t>DEMONTAŽA, RUŠENJE, PRIPREMA - neopravdani radovi:</t>
  </si>
  <si>
    <t>ZIDARSKI RADOVI - neopravdani radovi</t>
  </si>
  <si>
    <t>ZIDARSKI RADOVI - neopravdani radovi:</t>
  </si>
  <si>
    <t>BETONSKI I ARMIRANOBETONSKI RADOVI - neopravdani radovi</t>
  </si>
  <si>
    <t>BETONSKI I AB RADOVI - neopravdani radovi:</t>
  </si>
  <si>
    <t>TESARSKI RADOVI - neopravdani radovi:</t>
  </si>
  <si>
    <t>SOBOSLIKARSKI I LIČILAČKI RADOVI - neopravdani radovi:</t>
  </si>
  <si>
    <t>R E K A P I T U L A C I J A - neopravdani radovi</t>
  </si>
  <si>
    <t>NEOPRAVDAN TROŠAK</t>
  </si>
  <si>
    <t>IZOLATERSKI RADOVI UKUPNO (neopravdani):</t>
  </si>
  <si>
    <t>IZOLATERSKI RADOVI - neopravdani radovi</t>
  </si>
  <si>
    <r>
      <t xml:space="preserve">Zamjena uklonjene šute između daščane oplate drvenih grednika.  Između drvenih grednika postaviti </t>
    </r>
    <r>
      <rPr>
        <b/>
        <sz val="10"/>
        <rFont val="Arial"/>
        <family val="2"/>
      </rPr>
      <t>slojeve parnu branu i slojeve mineralne vune u visini grednika cca 15 cm</t>
    </r>
    <r>
      <rPr>
        <sz val="10"/>
        <rFont val="Arial"/>
        <family val="2"/>
      </rPr>
      <t>. Postaviti prethodno izvedbi sprezanja međukatne konstrukcije betonskom pločom.  Izvesti radove prema uputama proizvođača. Uključiti sav materijal, rad i alat za rad do potpune gotovosti.</t>
    </r>
  </si>
  <si>
    <r>
      <t>Pažljivo ručno obijanje trošne žbuke i obloge  zidova na mjestima sidrenja, debljine 2,5-4 cm s definiranih ravnih ploha zidova  do čiste, ravne, čvrste i suhe podloge.  Pri uklanjanju žbuke na vanjskoj strani zida voditi brigu o svim profilacijama u zidu i oko otvora te postupati u skladu s uputama konzervatorskog zavoda. Ziđe pročelja je. od opeke. Nakon obijanja žbuke zid očistiti čeličnim četkama, a reške skobama do dubine od 2 cm. Potom cijelu površinu otprašiti i isprati vodom pod tlakom. Utovar, odvoz i istovar na lokaciju  udaljenu do 10 km. Obračun po m</t>
    </r>
    <r>
      <rPr>
        <vertAlign val="superscript"/>
        <sz val="10"/>
        <rFont val="Arial"/>
        <family val="2"/>
      </rPr>
      <t>2</t>
    </r>
    <r>
      <rPr>
        <sz val="10"/>
        <rFont val="Arial"/>
        <family val="2"/>
      </rPr>
      <t>. 5 komada po cijeloj etaži, 2 komada u podrumskoj etaži iznad razine tla.</t>
    </r>
  </si>
  <si>
    <t>Postavljanje slojeva ravnog krova (krov 3. kata). Pretpostavljeni slojevi su daščana oplata 2,4 cm (VEĆ U TESARSKIM RADOVIMA) s bitumenskom ljepenkom te šljunak za zaštitu te ljepenke (slojevi koji su postojali). U stavku uključiti sve potrebne materijale, rad i opremu za izvedbu do potpune gotovosti. Prethodno izvedbi obavijestiti nadzornog inženjera da upiše slojeve unutar građevinskog dnevnika i postaviti slojeve kao prijašnje.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</si>
</sst>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quot;kn&quot;"/>
  </numFmts>
  <fonts count="38" x14ac:knownFonts="1">
    <font>
      <sz val="10"/>
      <name val="Arial"/>
      <charset val="238"/>
    </font>
    <font>
      <sz val="10"/>
      <color rgb="FFFF0000"/>
      <name val="Arial"/>
      <family val="2"/>
    </font>
    <font>
      <sz val="10"/>
      <name val="Arial"/>
      <family val="2"/>
    </font>
    <font>
      <b/>
      <sz val="10"/>
      <name val="Arial"/>
      <family val="2"/>
      <charset val="238"/>
    </font>
    <font>
      <b/>
      <sz val="11"/>
      <color rgb="FFFF0000"/>
      <name val="Arial"/>
      <family val="2"/>
      <charset val="238"/>
    </font>
    <font>
      <sz val="10"/>
      <name val="Arial"/>
      <family val="2"/>
      <charset val="238"/>
    </font>
    <font>
      <b/>
      <sz val="10"/>
      <color rgb="FFFF0000"/>
      <name val="Arial"/>
      <family val="2"/>
    </font>
    <font>
      <b/>
      <sz val="10"/>
      <name val="Arial"/>
      <family val="2"/>
    </font>
    <font>
      <vertAlign val="superscript"/>
      <sz val="10"/>
      <name val="Arial"/>
      <family val="2"/>
    </font>
    <font>
      <b/>
      <sz val="10"/>
      <name val="Symbol"/>
      <family val="1"/>
      <charset val="2"/>
    </font>
    <font>
      <b/>
      <vertAlign val="superscript"/>
      <sz val="10"/>
      <name val="Arial"/>
      <family val="2"/>
    </font>
    <font>
      <b/>
      <sz val="10"/>
      <color rgb="FF000000"/>
      <name val="Arial"/>
      <family val="2"/>
    </font>
    <font>
      <sz val="11"/>
      <color theme="1"/>
      <name val="Calibri"/>
      <family val="2"/>
      <charset val="238"/>
      <scheme val="minor"/>
    </font>
    <font>
      <sz val="10"/>
      <color theme="1"/>
      <name val="Arial"/>
      <family val="2"/>
    </font>
    <font>
      <sz val="20"/>
      <color rgb="FFFF0000"/>
      <name val="Arial"/>
      <family val="2"/>
    </font>
    <font>
      <sz val="10"/>
      <color theme="1"/>
      <name val="Arial"/>
      <family val="2"/>
      <charset val="238"/>
    </font>
    <font>
      <sz val="10"/>
      <color rgb="FF7030A0"/>
      <name val="Arial"/>
      <family val="2"/>
      <charset val="238"/>
    </font>
    <font>
      <vertAlign val="superscript"/>
      <sz val="10"/>
      <name val="Arial"/>
      <family val="2"/>
      <charset val="238"/>
    </font>
    <font>
      <sz val="10"/>
      <name val="Symbol"/>
      <family val="1"/>
      <charset val="2"/>
    </font>
    <font>
      <sz val="10"/>
      <color rgb="FF7030A0"/>
      <name val="Arial Narrow"/>
      <family val="2"/>
    </font>
    <font>
      <sz val="10"/>
      <name val="Calibri"/>
      <family val="2"/>
    </font>
    <font>
      <sz val="11"/>
      <name val="Arial"/>
      <family val="2"/>
    </font>
    <font>
      <sz val="10"/>
      <color rgb="FFFF0000"/>
      <name val="Arial"/>
      <family val="2"/>
      <charset val="238"/>
    </font>
    <font>
      <sz val="10"/>
      <color rgb="FFFF0000"/>
      <name val="Arial Narrow"/>
      <family val="2"/>
    </font>
    <font>
      <b/>
      <sz val="10"/>
      <color theme="1"/>
      <name val="Arial"/>
      <family val="2"/>
      <charset val="238"/>
    </font>
    <font>
      <sz val="10"/>
      <color rgb="FF000000"/>
      <name val="Arial"/>
      <family val="2"/>
    </font>
    <font>
      <b/>
      <sz val="10"/>
      <color theme="1"/>
      <name val="Arial"/>
      <family val="2"/>
    </font>
    <font>
      <i/>
      <sz val="10"/>
      <name val="Arial"/>
      <family val="2"/>
    </font>
    <font>
      <i/>
      <sz val="8"/>
      <name val="Arial"/>
      <family val="2"/>
    </font>
    <font>
      <sz val="12"/>
      <name val="Arial CE"/>
      <charset val="238"/>
    </font>
    <font>
      <sz val="10"/>
      <name val="Helv"/>
    </font>
    <font>
      <sz val="10"/>
      <color rgb="FF00B0F0"/>
      <name val="Arial"/>
      <family val="2"/>
    </font>
    <font>
      <strike/>
      <sz val="10"/>
      <color rgb="FF00B0F0"/>
      <name val="Arial"/>
      <family val="2"/>
    </font>
    <font>
      <sz val="10"/>
      <color rgb="FF00B0F0"/>
      <name val="Arial"/>
      <family val="2"/>
      <charset val="238"/>
    </font>
    <font>
      <b/>
      <sz val="11"/>
      <color rgb="FF00B0F0"/>
      <name val="Arial"/>
      <family val="2"/>
      <charset val="238"/>
    </font>
    <font>
      <b/>
      <sz val="10"/>
      <color rgb="FF00B0F0"/>
      <name val="Arial"/>
      <family val="2"/>
      <charset val="238"/>
    </font>
    <font>
      <b/>
      <sz val="10"/>
      <color rgb="FF00B0F0"/>
      <name val="Arial"/>
      <family val="2"/>
    </font>
    <font>
      <i/>
      <sz val="10"/>
      <name val="Arial"/>
      <family val="2"/>
      <charset val="238"/>
    </font>
  </fonts>
  <fills count="3">
    <fill>
      <patternFill patternType="none"/>
    </fill>
    <fill>
      <patternFill patternType="gray125"/>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8">
    <xf numFmtId="0" fontId="0" fillId="0" borderId="0"/>
    <xf numFmtId="0" fontId="2" fillId="0" borderId="0"/>
    <xf numFmtId="0" fontId="12" fillId="0" borderId="0"/>
    <xf numFmtId="0" fontId="2" fillId="0" borderId="0"/>
    <xf numFmtId="0" fontId="5" fillId="0" borderId="0"/>
    <xf numFmtId="0" fontId="29" fillId="0" borderId="0"/>
    <xf numFmtId="0" fontId="5" fillId="0" borderId="0"/>
    <xf numFmtId="0" fontId="30" fillId="0" borderId="0"/>
  </cellStyleXfs>
  <cellXfs count="331">
    <xf numFmtId="0" fontId="0" fillId="0" borderId="0" xfId="0"/>
    <xf numFmtId="0" fontId="1" fillId="0" borderId="0" xfId="0" applyFont="1" applyAlignment="1">
      <alignment horizontal="center" vertical="top"/>
    </xf>
    <xf numFmtId="0" fontId="0" fillId="0" borderId="0" xfId="0" applyAlignment="1">
      <alignment horizontal="left" vertical="top"/>
    </xf>
    <xf numFmtId="0" fontId="2" fillId="0" borderId="0" xfId="0" applyFont="1" applyAlignment="1">
      <alignment horizontal="center"/>
    </xf>
    <xf numFmtId="2" fontId="0" fillId="0" borderId="0" xfId="0" applyNumberFormat="1" applyAlignment="1">
      <alignment horizontal="center"/>
    </xf>
    <xf numFmtId="0" fontId="3" fillId="0" borderId="0" xfId="0" applyFont="1" applyAlignment="1">
      <alignment horizontal="left" vertical="top"/>
    </xf>
    <xf numFmtId="0" fontId="4" fillId="0" borderId="0" xfId="0" applyFont="1" applyAlignment="1">
      <alignment horizontal="left"/>
    </xf>
    <xf numFmtId="0" fontId="5" fillId="0" borderId="0" xfId="0" applyFont="1" applyAlignment="1">
      <alignment horizontal="left"/>
    </xf>
    <xf numFmtId="0" fontId="5" fillId="0" borderId="0" xfId="0" applyFont="1" applyAlignment="1">
      <alignment horizontal="left" wrapText="1"/>
    </xf>
    <xf numFmtId="0" fontId="6" fillId="2" borderId="0" xfId="0" applyFont="1" applyFill="1" applyAlignment="1">
      <alignment horizontal="center" vertical="top"/>
    </xf>
    <xf numFmtId="0" fontId="3" fillId="2" borderId="1" xfId="0" applyFont="1" applyFill="1" applyBorder="1" applyAlignment="1">
      <alignment horizontal="left" vertical="top"/>
    </xf>
    <xf numFmtId="0" fontId="2" fillId="2" borderId="0" xfId="0" applyFont="1" applyFill="1" applyAlignment="1">
      <alignment horizontal="center"/>
    </xf>
    <xf numFmtId="2" fontId="0" fillId="2" borderId="0" xfId="0" applyNumberFormat="1" applyFill="1" applyAlignment="1">
      <alignment horizontal="center"/>
    </xf>
    <xf numFmtId="0" fontId="6" fillId="0" borderId="0" xfId="0" applyFont="1" applyAlignment="1">
      <alignment horizontal="center" vertical="top"/>
    </xf>
    <xf numFmtId="0" fontId="7" fillId="0" borderId="0" xfId="0" applyFont="1" applyAlignment="1">
      <alignment horizontal="left" wrapText="1"/>
    </xf>
    <xf numFmtId="0" fontId="5" fillId="0" borderId="0" xfId="0" applyFont="1" applyAlignment="1">
      <alignment horizontal="left" vertical="justify" wrapText="1"/>
    </xf>
    <xf numFmtId="0" fontId="0" fillId="0" borderId="0" xfId="0" applyAlignment="1">
      <alignment horizontal="left" vertical="top" wrapText="1"/>
    </xf>
    <xf numFmtId="0" fontId="7" fillId="0" borderId="0" xfId="0" quotePrefix="1" applyFont="1" applyAlignment="1">
      <alignment horizontal="justify" vertical="center" wrapText="1"/>
    </xf>
    <xf numFmtId="2" fontId="2" fillId="0" borderId="0" xfId="0" applyNumberFormat="1" applyFont="1" applyAlignment="1">
      <alignment horizontal="center"/>
    </xf>
    <xf numFmtId="4" fontId="2" fillId="0" borderId="0" xfId="0" applyNumberFormat="1" applyFont="1" applyAlignment="1">
      <alignment horizontal="right"/>
    </xf>
    <xf numFmtId="0" fontId="2" fillId="0" borderId="0" xfId="0" quotePrefix="1" applyFont="1" applyAlignment="1">
      <alignment horizontal="justify" vertical="justify" wrapText="1"/>
    </xf>
    <xf numFmtId="0" fontId="2" fillId="0" borderId="0" xfId="0" applyFont="1" applyAlignment="1">
      <alignment horizontal="right"/>
    </xf>
    <xf numFmtId="0" fontId="7" fillId="0" borderId="0" xfId="0" quotePrefix="1" applyFont="1" applyAlignment="1">
      <alignment horizontal="justify" vertical="justify" wrapText="1"/>
    </xf>
    <xf numFmtId="0" fontId="7" fillId="0" borderId="0" xfId="0" applyFont="1" applyAlignment="1">
      <alignment horizontal="center"/>
    </xf>
    <xf numFmtId="2" fontId="7" fillId="0" borderId="0" xfId="0" applyNumberFormat="1" applyFont="1" applyAlignment="1">
      <alignment horizontal="center"/>
    </xf>
    <xf numFmtId="0" fontId="2" fillId="0" borderId="0" xfId="0" quotePrefix="1" applyFont="1" applyAlignment="1">
      <alignment horizontal="justify" vertical="center" wrapText="1"/>
    </xf>
    <xf numFmtId="0" fontId="7" fillId="0" borderId="0" xfId="0" applyFont="1" applyAlignment="1">
      <alignment horizontal="left" vertical="top" wrapText="1"/>
    </xf>
    <xf numFmtId="0" fontId="2" fillId="0" borderId="0" xfId="0" applyFont="1" applyAlignment="1">
      <alignment horizontal="justify" vertical="justify" wrapText="1"/>
    </xf>
    <xf numFmtId="0" fontId="0" fillId="0" borderId="0" xfId="0" applyAlignment="1">
      <alignment horizontal="left"/>
    </xf>
    <xf numFmtId="0" fontId="2" fillId="0" borderId="0" xfId="0" applyFont="1" applyAlignment="1">
      <alignment horizontal="justify" vertical="top" wrapText="1"/>
    </xf>
    <xf numFmtId="0" fontId="1" fillId="0" borderId="0" xfId="1" applyFont="1" applyAlignment="1">
      <alignment horizontal="center" vertical="top"/>
    </xf>
    <xf numFmtId="0" fontId="5" fillId="0" borderId="0" xfId="1" applyFont="1" applyAlignment="1">
      <alignment horizontal="justify" vertical="justify" wrapText="1"/>
    </xf>
    <xf numFmtId="0" fontId="5" fillId="0" borderId="0" xfId="1" applyFont="1" applyAlignment="1">
      <alignment horizontal="center"/>
    </xf>
    <xf numFmtId="2" fontId="2" fillId="0" borderId="0" xfId="1" applyNumberFormat="1" applyAlignment="1">
      <alignment horizontal="center"/>
    </xf>
    <xf numFmtId="4" fontId="2" fillId="0" borderId="0" xfId="1" applyNumberFormat="1" applyAlignment="1">
      <alignment horizontal="right"/>
    </xf>
    <xf numFmtId="0" fontId="2" fillId="0" borderId="0" xfId="1" applyAlignment="1">
      <alignment horizontal="center" vertical="top"/>
    </xf>
    <xf numFmtId="0" fontId="2" fillId="0" borderId="0" xfId="1" quotePrefix="1" applyAlignment="1">
      <alignment horizontal="left" vertical="justify" wrapText="1"/>
    </xf>
    <xf numFmtId="0" fontId="2" fillId="0" borderId="0" xfId="1" applyAlignment="1">
      <alignment horizontal="center"/>
    </xf>
    <xf numFmtId="2" fontId="5" fillId="0" borderId="0" xfId="1" applyNumberFormat="1" applyFont="1" applyAlignment="1">
      <alignment horizontal="center"/>
    </xf>
    <xf numFmtId="0" fontId="7" fillId="0" borderId="0" xfId="1" quotePrefix="1" applyFont="1" applyAlignment="1">
      <alignment horizontal="left" vertical="justify" wrapText="1"/>
    </xf>
    <xf numFmtId="0" fontId="2" fillId="0" borderId="0" xfId="1"/>
    <xf numFmtId="2" fontId="7" fillId="0" borderId="0" xfId="1" applyNumberFormat="1" applyFont="1" applyAlignment="1">
      <alignment horizontal="center"/>
    </xf>
    <xf numFmtId="0" fontId="7" fillId="0" borderId="0" xfId="1" quotePrefix="1" applyFont="1" applyAlignment="1">
      <alignment horizontal="justify" vertical="center" wrapText="1"/>
    </xf>
    <xf numFmtId="2" fontId="5" fillId="0" borderId="0" xfId="0" applyNumberFormat="1" applyFont="1" applyAlignment="1">
      <alignment horizontal="center"/>
    </xf>
    <xf numFmtId="0" fontId="5" fillId="0" borderId="0" xfId="0" quotePrefix="1" applyFont="1" applyAlignment="1">
      <alignment horizontal="left" vertical="center" wrapText="1"/>
    </xf>
    <xf numFmtId="0" fontId="11" fillId="0" borderId="0" xfId="0" applyFont="1" applyAlignment="1">
      <alignment wrapText="1"/>
    </xf>
    <xf numFmtId="0" fontId="5" fillId="0" borderId="0" xfId="0" applyFont="1" applyAlignment="1">
      <alignment horizontal="justify" vertical="justify" wrapText="1"/>
    </xf>
    <xf numFmtId="0" fontId="5" fillId="0" borderId="0" xfId="0" applyFont="1" applyAlignment="1">
      <alignment horizontal="center"/>
    </xf>
    <xf numFmtId="164" fontId="5" fillId="0" borderId="0" xfId="0" applyNumberFormat="1" applyFont="1" applyAlignment="1">
      <alignment horizontal="center"/>
    </xf>
    <xf numFmtId="0" fontId="2" fillId="0" borderId="0" xfId="0" quotePrefix="1" applyFont="1" applyAlignment="1">
      <alignment horizontal="justify" vertical="top" wrapText="1"/>
    </xf>
    <xf numFmtId="164" fontId="2" fillId="0" borderId="0" xfId="0" applyNumberFormat="1" applyFont="1" applyAlignment="1">
      <alignment horizontal="center"/>
    </xf>
    <xf numFmtId="164" fontId="0" fillId="0" borderId="0" xfId="0" applyNumberFormat="1" applyAlignment="1">
      <alignment horizontal="center"/>
    </xf>
    <xf numFmtId="0" fontId="0" fillId="0" borderId="0" xfId="0" applyAlignment="1">
      <alignment horizontal="justify" vertical="top" wrapText="1"/>
    </xf>
    <xf numFmtId="0" fontId="2" fillId="0" borderId="0" xfId="0" applyFont="1" applyAlignment="1">
      <alignment horizontal="left" vertical="top" wrapText="1"/>
    </xf>
    <xf numFmtId="1" fontId="2" fillId="0" borderId="0" xfId="0" applyNumberFormat="1" applyFont="1" applyAlignment="1">
      <alignment horizontal="center"/>
    </xf>
    <xf numFmtId="0" fontId="7" fillId="0" borderId="0" xfId="0" applyFont="1" applyAlignment="1">
      <alignment horizontal="justify" vertical="top" wrapText="1"/>
    </xf>
    <xf numFmtId="0" fontId="2" fillId="0" borderId="0" xfId="0" quotePrefix="1" applyFont="1" applyAlignment="1">
      <alignment horizontal="left" vertical="justify" wrapText="1"/>
    </xf>
    <xf numFmtId="164" fontId="7" fillId="0" borderId="0" xfId="0" applyNumberFormat="1" applyFont="1" applyAlignment="1">
      <alignment horizontal="center"/>
    </xf>
    <xf numFmtId="0" fontId="7" fillId="0" borderId="0" xfId="0" quotePrefix="1" applyFont="1" applyAlignment="1">
      <alignment horizontal="left" vertical="justify" wrapText="1"/>
    </xf>
    <xf numFmtId="0" fontId="7" fillId="0" borderId="0" xfId="0" quotePrefix="1" applyFont="1" applyAlignment="1">
      <alignment horizontal="left" vertical="center" wrapText="1"/>
    </xf>
    <xf numFmtId="0" fontId="2" fillId="0" borderId="0" xfId="0" applyFont="1" applyAlignment="1">
      <alignment horizontal="left" vertical="justify" wrapText="1"/>
    </xf>
    <xf numFmtId="0" fontId="2" fillId="0" borderId="0" xfId="0" applyFont="1" applyAlignment="1">
      <alignment horizontal="left"/>
    </xf>
    <xf numFmtId="0" fontId="2" fillId="0" borderId="0" xfId="0" applyFont="1"/>
    <xf numFmtId="0" fontId="1" fillId="2" borderId="1" xfId="0" applyFont="1" applyFill="1" applyBorder="1" applyAlignment="1">
      <alignment horizontal="center" vertical="top"/>
    </xf>
    <xf numFmtId="0" fontId="3" fillId="2" borderId="2" xfId="0" applyFont="1" applyFill="1" applyBorder="1" applyAlignment="1">
      <alignment horizontal="left" vertical="top" wrapText="1"/>
    </xf>
    <xf numFmtId="2" fontId="0" fillId="2" borderId="3" xfId="0" applyNumberFormat="1" applyFill="1" applyBorder="1" applyAlignment="1">
      <alignment horizontal="center"/>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2" borderId="1" xfId="0" applyFont="1" applyFill="1" applyBorder="1" applyAlignment="1">
      <alignment horizontal="left" vertical="top" wrapText="1"/>
    </xf>
    <xf numFmtId="0" fontId="2" fillId="0" borderId="0" xfId="0" quotePrefix="1" applyFont="1" applyAlignment="1">
      <alignment horizontal="left" vertical="top" wrapText="1"/>
    </xf>
    <xf numFmtId="0" fontId="2" fillId="0" borderId="0" xfId="0" applyFont="1" applyAlignment="1">
      <alignment horizontal="left" vertical="justify"/>
    </xf>
    <xf numFmtId="4" fontId="13" fillId="0" borderId="0" xfId="2" applyNumberFormat="1" applyFont="1" applyAlignment="1">
      <alignment horizontal="center" wrapText="1"/>
    </xf>
    <xf numFmtId="0" fontId="2" fillId="0" borderId="0" xfId="0" quotePrefix="1" applyFont="1" applyAlignment="1">
      <alignment vertical="center" wrapText="1"/>
    </xf>
    <xf numFmtId="0" fontId="2" fillId="2" borderId="3" xfId="0" applyFont="1" applyFill="1" applyBorder="1" applyAlignment="1">
      <alignment horizontal="center"/>
    </xf>
    <xf numFmtId="0" fontId="13" fillId="0" borderId="0" xfId="0" applyFont="1" applyAlignment="1">
      <alignment horizontal="center"/>
    </xf>
    <xf numFmtId="2" fontId="13" fillId="0" borderId="0" xfId="0" applyNumberFormat="1" applyFont="1" applyAlignment="1">
      <alignment horizontal="center"/>
    </xf>
    <xf numFmtId="0" fontId="13" fillId="0" borderId="0" xfId="0" applyFont="1" applyAlignment="1">
      <alignment horizontal="justify"/>
    </xf>
    <xf numFmtId="0" fontId="13" fillId="0" borderId="0" xfId="0" applyFont="1" applyAlignment="1">
      <alignment horizontal="justify" wrapText="1"/>
    </xf>
    <xf numFmtId="2" fontId="15" fillId="0" borderId="0" xfId="0" applyNumberFormat="1" applyFont="1" applyAlignment="1">
      <alignment horizontal="center"/>
    </xf>
    <xf numFmtId="0" fontId="7" fillId="0" borderId="0" xfId="0" applyFont="1" applyAlignment="1">
      <alignment horizontal="left" vertical="justify" wrapText="1"/>
    </xf>
    <xf numFmtId="0" fontId="7" fillId="0" borderId="0" xfId="0" applyFont="1" applyAlignment="1">
      <alignment horizontal="left" vertical="top"/>
    </xf>
    <xf numFmtId="0" fontId="1" fillId="0" borderId="0" xfId="3" applyFont="1" applyAlignment="1">
      <alignment horizontal="center" vertical="top"/>
    </xf>
    <xf numFmtId="0" fontId="5" fillId="0" borderId="0" xfId="3" quotePrefix="1" applyFont="1" applyAlignment="1">
      <alignment horizontal="left" vertical="center" wrapText="1"/>
    </xf>
    <xf numFmtId="0" fontId="16" fillId="0" borderId="0" xfId="3" applyFont="1" applyAlignment="1">
      <alignment horizontal="center"/>
    </xf>
    <xf numFmtId="4" fontId="16" fillId="0" borderId="0" xfId="3" applyNumberFormat="1" applyFont="1" applyAlignment="1">
      <alignment horizontal="center"/>
    </xf>
    <xf numFmtId="4" fontId="2" fillId="0" borderId="0" xfId="3" applyNumberFormat="1" applyAlignment="1">
      <alignment horizontal="right"/>
    </xf>
    <xf numFmtId="1" fontId="13" fillId="0" borderId="0" xfId="0" applyNumberFormat="1" applyFont="1" applyAlignment="1">
      <alignment horizontal="center"/>
    </xf>
    <xf numFmtId="0" fontId="7" fillId="0" borderId="0" xfId="3" applyFont="1" applyAlignment="1">
      <alignment horizontal="left" vertical="center"/>
    </xf>
    <xf numFmtId="0" fontId="2" fillId="0" borderId="0" xfId="3"/>
    <xf numFmtId="0" fontId="13" fillId="0" borderId="0" xfId="3" applyFont="1" applyAlignment="1">
      <alignment horizontal="center" vertical="top"/>
    </xf>
    <xf numFmtId="0" fontId="5" fillId="0" borderId="0" xfId="4" applyAlignment="1">
      <alignment horizontal="left" vertical="center"/>
    </xf>
    <xf numFmtId="0" fontId="5" fillId="0" borderId="0" xfId="3" applyFont="1" applyAlignment="1">
      <alignment horizontal="center"/>
    </xf>
    <xf numFmtId="2" fontId="5" fillId="0" borderId="0" xfId="4" applyNumberFormat="1" applyAlignment="1">
      <alignment horizontal="center"/>
    </xf>
    <xf numFmtId="0" fontId="5" fillId="0" borderId="0" xfId="4" quotePrefix="1" applyAlignment="1">
      <alignment horizontal="left" vertical="center" wrapText="1"/>
    </xf>
    <xf numFmtId="0" fontId="5" fillId="0" borderId="0" xfId="4" applyAlignment="1">
      <alignment horizontal="center"/>
    </xf>
    <xf numFmtId="0" fontId="19" fillId="0" borderId="0" xfId="0" applyFont="1" applyAlignment="1">
      <alignment horizontal="justify"/>
    </xf>
    <xf numFmtId="0" fontId="5" fillId="0" borderId="0" xfId="0" applyFont="1" applyAlignment="1">
      <alignment horizontal="justify" vertical="top"/>
    </xf>
    <xf numFmtId="1" fontId="5" fillId="0" borderId="0" xfId="0" applyNumberFormat="1" applyFont="1" applyAlignment="1">
      <alignment horizontal="center"/>
    </xf>
    <xf numFmtId="0" fontId="5" fillId="0" borderId="0" xfId="0" quotePrefix="1" applyFont="1" applyAlignment="1">
      <alignment horizontal="justify" vertical="center" wrapText="1"/>
    </xf>
    <xf numFmtId="0" fontId="5" fillId="0" borderId="0" xfId="0" applyFont="1" applyAlignment="1">
      <alignment horizontal="justify" vertical="top" wrapText="1"/>
    </xf>
    <xf numFmtId="0" fontId="5" fillId="0" borderId="0" xfId="0" applyFont="1" applyAlignment="1">
      <alignment horizontal="justify" wrapText="1"/>
    </xf>
    <xf numFmtId="0" fontId="5" fillId="0" borderId="0" xfId="3" quotePrefix="1" applyFont="1" applyAlignment="1">
      <alignment horizontal="justify" vertical="justify" wrapText="1"/>
    </xf>
    <xf numFmtId="0" fontId="2" fillId="0" borderId="0" xfId="3" applyAlignment="1">
      <alignment horizontal="center" vertical="top"/>
    </xf>
    <xf numFmtId="0" fontId="5" fillId="0" borderId="0" xfId="4" applyAlignment="1">
      <alignment horizontal="left" vertical="top"/>
    </xf>
    <xf numFmtId="0" fontId="5" fillId="0" borderId="0" xfId="0" quotePrefix="1" applyFont="1" applyAlignment="1">
      <alignment horizontal="justify" vertical="justify" wrapText="1"/>
    </xf>
    <xf numFmtId="0" fontId="5" fillId="0" borderId="0" xfId="0" quotePrefix="1" applyFont="1" applyAlignment="1">
      <alignment horizontal="left" vertical="top" wrapText="1"/>
    </xf>
    <xf numFmtId="0" fontId="16" fillId="0" borderId="0" xfId="0" applyFont="1" applyAlignment="1">
      <alignment horizontal="center"/>
    </xf>
    <xf numFmtId="164" fontId="16" fillId="0" borderId="0" xfId="0" applyNumberFormat="1" applyFont="1" applyAlignment="1">
      <alignment horizontal="center"/>
    </xf>
    <xf numFmtId="0" fontId="5" fillId="0" borderId="0" xfId="0" applyFont="1" applyAlignment="1">
      <alignment horizontal="left" vertical="top"/>
    </xf>
    <xf numFmtId="0" fontId="16" fillId="0" borderId="0" xfId="0" applyFont="1" applyAlignment="1">
      <alignment horizontal="right"/>
    </xf>
    <xf numFmtId="164" fontId="16" fillId="0" borderId="0" xfId="0" applyNumberFormat="1" applyFont="1" applyAlignment="1">
      <alignment horizontal="right"/>
    </xf>
    <xf numFmtId="164" fontId="5" fillId="0" borderId="0" xfId="3" applyNumberFormat="1" applyFont="1" applyAlignment="1">
      <alignment horizontal="center"/>
    </xf>
    <xf numFmtId="2" fontId="2" fillId="0" borderId="0" xfId="3" applyNumberFormat="1" applyAlignment="1">
      <alignment horizontal="center"/>
    </xf>
    <xf numFmtId="0" fontId="5" fillId="0" borderId="0" xfId="3" quotePrefix="1" applyFont="1" applyAlignment="1">
      <alignment horizontal="left" vertical="top" wrapText="1"/>
    </xf>
    <xf numFmtId="0" fontId="22" fillId="0" borderId="0" xfId="0" quotePrefix="1" applyFont="1" applyAlignment="1">
      <alignment horizontal="center" vertical="justify" wrapText="1"/>
    </xf>
    <xf numFmtId="0" fontId="23" fillId="0" borderId="0" xfId="0" applyFont="1" applyAlignment="1">
      <alignment horizontal="left" vertical="center"/>
    </xf>
    <xf numFmtId="4" fontId="23" fillId="0" borderId="0" xfId="0" applyNumberFormat="1" applyFont="1" applyAlignment="1">
      <alignment horizontal="right"/>
    </xf>
    <xf numFmtId="0" fontId="23" fillId="0" borderId="0" xfId="0" applyFont="1" applyAlignment="1">
      <alignment horizontal="center" vertical="top"/>
    </xf>
    <xf numFmtId="0" fontId="5" fillId="0" borderId="0" xfId="0" quotePrefix="1" applyFont="1" applyAlignment="1">
      <alignment horizontal="center" wrapText="1"/>
    </xf>
    <xf numFmtId="0" fontId="1" fillId="2" borderId="2" xfId="0" applyFont="1" applyFill="1" applyBorder="1" applyAlignment="1">
      <alignment horizontal="center" vertical="top"/>
    </xf>
    <xf numFmtId="0" fontId="3" fillId="2" borderId="2" xfId="0" applyFont="1" applyFill="1" applyBorder="1" applyAlignment="1">
      <alignment horizontal="left" vertical="top"/>
    </xf>
    <xf numFmtId="0" fontId="5" fillId="0" borderId="0" xfId="0" quotePrefix="1" applyFont="1" applyAlignment="1">
      <alignment horizontal="left" vertical="justify" wrapText="1"/>
    </xf>
    <xf numFmtId="0" fontId="2" fillId="0" borderId="0" xfId="0" applyFont="1" applyAlignment="1">
      <alignment horizontal="justify"/>
    </xf>
    <xf numFmtId="0" fontId="15" fillId="0" borderId="0" xfId="0" applyFont="1" applyAlignment="1">
      <alignment horizontal="left"/>
    </xf>
    <xf numFmtId="0" fontId="24" fillId="2" borderId="2" xfId="0" applyFont="1" applyFill="1" applyBorder="1" applyAlignment="1">
      <alignment horizontal="left"/>
    </xf>
    <xf numFmtId="0" fontId="13" fillId="2" borderId="3" xfId="0" applyFont="1" applyFill="1" applyBorder="1" applyAlignment="1">
      <alignment horizontal="center"/>
    </xf>
    <xf numFmtId="2" fontId="15" fillId="2" borderId="3" xfId="0" applyNumberFormat="1" applyFont="1" applyFill="1" applyBorder="1" applyAlignment="1">
      <alignment horizontal="center"/>
    </xf>
    <xf numFmtId="0" fontId="6" fillId="2" borderId="1" xfId="0" applyFont="1" applyFill="1" applyBorder="1" applyAlignment="1">
      <alignment horizontal="center" vertical="top"/>
    </xf>
    <xf numFmtId="0" fontId="7" fillId="2" borderId="2" xfId="0" applyFont="1" applyFill="1" applyBorder="1" applyAlignment="1">
      <alignment horizontal="justify" vertical="top"/>
    </xf>
    <xf numFmtId="0" fontId="2" fillId="2" borderId="3" xfId="0" applyFont="1" applyFill="1" applyBorder="1" applyAlignment="1">
      <alignment horizontal="right"/>
    </xf>
    <xf numFmtId="164" fontId="2" fillId="2" borderId="3" xfId="0" applyNumberFormat="1" applyFont="1" applyFill="1" applyBorder="1" applyAlignment="1">
      <alignment horizontal="right"/>
    </xf>
    <xf numFmtId="2" fontId="2" fillId="2" borderId="3" xfId="0" applyNumberFormat="1" applyFont="1" applyFill="1" applyBorder="1" applyAlignment="1">
      <alignment horizontal="right"/>
    </xf>
    <xf numFmtId="4" fontId="2" fillId="2" borderId="4" xfId="0" applyNumberFormat="1" applyFont="1" applyFill="1" applyBorder="1" applyAlignment="1">
      <alignment horizontal="right"/>
    </xf>
    <xf numFmtId="0" fontId="2" fillId="0" borderId="0" xfId="0" applyFont="1" applyAlignment="1">
      <alignment horizontal="justify" vertical="top"/>
    </xf>
    <xf numFmtId="164" fontId="2" fillId="0" borderId="0" xfId="0" applyNumberFormat="1" applyFont="1" applyAlignment="1">
      <alignment horizontal="right"/>
    </xf>
    <xf numFmtId="0" fontId="2" fillId="0" borderId="0" xfId="3" quotePrefix="1" applyAlignment="1">
      <alignment horizontal="justify" vertical="justify" wrapText="1"/>
    </xf>
    <xf numFmtId="164" fontId="13" fillId="0" borderId="0" xfId="3" applyNumberFormat="1" applyFont="1" applyAlignment="1">
      <alignment horizontal="center"/>
    </xf>
    <xf numFmtId="0" fontId="13" fillId="0" borderId="0" xfId="0" applyFont="1" applyAlignment="1">
      <alignment horizontal="right"/>
    </xf>
    <xf numFmtId="164" fontId="13" fillId="0" borderId="0" xfId="0" applyNumberFormat="1" applyFont="1" applyAlignment="1">
      <alignment horizontal="right"/>
    </xf>
    <xf numFmtId="0" fontId="25" fillId="0" borderId="0" xfId="0" applyFont="1" applyAlignment="1">
      <alignment wrapText="1"/>
    </xf>
    <xf numFmtId="164" fontId="13" fillId="0" borderId="0" xfId="0" applyNumberFormat="1" applyFont="1" applyAlignment="1">
      <alignment horizontal="center"/>
    </xf>
    <xf numFmtId="0" fontId="2" fillId="0" borderId="0" xfId="0" applyFont="1" applyAlignment="1">
      <alignment horizontal="left" vertical="center"/>
    </xf>
    <xf numFmtId="0" fontId="1" fillId="2" borderId="0" xfId="0" applyFont="1" applyFill="1" applyAlignment="1">
      <alignment horizontal="center" vertical="top"/>
    </xf>
    <xf numFmtId="0" fontId="26" fillId="2" borderId="2" xfId="0" applyFont="1" applyFill="1" applyBorder="1" applyAlignment="1">
      <alignment horizontal="left" vertical="center"/>
    </xf>
    <xf numFmtId="1" fontId="13" fillId="2" borderId="3" xfId="0" applyNumberFormat="1" applyFont="1" applyFill="1" applyBorder="1" applyAlignment="1">
      <alignment horizontal="center"/>
    </xf>
    <xf numFmtId="0" fontId="26" fillId="0" borderId="0" xfId="0" applyFont="1" applyAlignment="1">
      <alignment horizontal="left" vertical="center"/>
    </xf>
    <xf numFmtId="0" fontId="6" fillId="2" borderId="2" xfId="0" applyFont="1" applyFill="1" applyBorder="1" applyAlignment="1">
      <alignment horizontal="center" vertical="top"/>
    </xf>
    <xf numFmtId="0" fontId="7" fillId="0" borderId="0" xfId="0" quotePrefix="1" applyFont="1" applyAlignment="1">
      <alignment horizontal="justify" vertical="top" wrapText="1"/>
    </xf>
    <xf numFmtId="0" fontId="7" fillId="2" borderId="2" xfId="0" applyFont="1" applyFill="1" applyBorder="1" applyAlignment="1">
      <alignment horizontal="justify"/>
    </xf>
    <xf numFmtId="0" fontId="27" fillId="0" borderId="0" xfId="0" applyFont="1" applyAlignment="1">
      <alignment horizontal="left" vertical="top"/>
    </xf>
    <xf numFmtId="0" fontId="3" fillId="0" borderId="2" xfId="0" applyFont="1" applyBorder="1" applyAlignment="1">
      <alignment horizontal="left" vertical="top" wrapText="1"/>
    </xf>
    <xf numFmtId="0" fontId="2" fillId="0" borderId="3" xfId="0" applyFont="1" applyBorder="1" applyAlignment="1">
      <alignment horizontal="center"/>
    </xf>
    <xf numFmtId="2" fontId="0" fillId="0" borderId="3" xfId="0" applyNumberFormat="1" applyBorder="1" applyAlignment="1">
      <alignment horizontal="center"/>
    </xf>
    <xf numFmtId="2" fontId="2" fillId="0" borderId="3" xfId="0" applyNumberFormat="1" applyFont="1" applyBorder="1" applyAlignment="1">
      <alignment horizontal="center"/>
    </xf>
    <xf numFmtId="4" fontId="2" fillId="0" borderId="4" xfId="0" applyNumberFormat="1" applyFont="1" applyBorder="1" applyAlignment="1">
      <alignment horizontal="right"/>
    </xf>
    <xf numFmtId="2" fontId="0" fillId="0" borderId="3" xfId="0" applyNumberFormat="1" applyBorder="1" applyAlignment="1">
      <alignment horizontal="center" shrinkToFit="1"/>
    </xf>
    <xf numFmtId="2" fontId="0" fillId="0" borderId="0" xfId="0" applyNumberFormat="1" applyAlignment="1">
      <alignment horizontal="center" shrinkToFit="1"/>
    </xf>
    <xf numFmtId="0" fontId="2" fillId="0" borderId="5" xfId="0" applyFont="1" applyBorder="1" applyAlignment="1">
      <alignment horizontal="center"/>
    </xf>
    <xf numFmtId="2" fontId="0" fillId="0" borderId="5" xfId="0" applyNumberFormat="1" applyBorder="1" applyAlignment="1">
      <alignment horizontal="center" shrinkToFit="1"/>
    </xf>
    <xf numFmtId="2" fontId="2" fillId="0" borderId="5" xfId="0" applyNumberFormat="1" applyFont="1" applyBorder="1" applyAlignment="1">
      <alignment horizontal="center"/>
    </xf>
    <xf numFmtId="4" fontId="2" fillId="0" borderId="5" xfId="0" applyNumberFormat="1" applyFont="1" applyBorder="1" applyAlignment="1">
      <alignment horizontal="right"/>
    </xf>
    <xf numFmtId="0" fontId="0" fillId="0" borderId="6" xfId="0" applyBorder="1" applyAlignment="1">
      <alignment horizontal="left" vertical="top" wrapText="1"/>
    </xf>
    <xf numFmtId="0" fontId="2" fillId="0" borderId="6" xfId="0" applyFont="1" applyBorder="1" applyAlignment="1">
      <alignment horizontal="center"/>
    </xf>
    <xf numFmtId="2" fontId="0" fillId="0" borderId="6" xfId="0" applyNumberFormat="1" applyBorder="1" applyAlignment="1">
      <alignment horizontal="center"/>
    </xf>
    <xf numFmtId="2" fontId="2" fillId="0" borderId="6" xfId="0" applyNumberFormat="1" applyFont="1" applyBorder="1" applyAlignment="1">
      <alignment horizontal="center"/>
    </xf>
    <xf numFmtId="2" fontId="28" fillId="0" borderId="0" xfId="0" applyNumberFormat="1" applyFont="1" applyAlignment="1">
      <alignment horizontal="center"/>
    </xf>
    <xf numFmtId="0" fontId="7" fillId="0" borderId="3" xfId="0" applyFont="1" applyBorder="1" applyAlignment="1">
      <alignment horizontal="center"/>
    </xf>
    <xf numFmtId="2" fontId="3" fillId="0" borderId="3" xfId="0" applyNumberFormat="1" applyFont="1" applyBorder="1" applyAlignment="1">
      <alignment horizontal="center" shrinkToFit="1"/>
    </xf>
    <xf numFmtId="2" fontId="7" fillId="0" borderId="3" xfId="0" applyNumberFormat="1" applyFont="1" applyBorder="1" applyAlignment="1">
      <alignment horizontal="center"/>
    </xf>
    <xf numFmtId="2" fontId="3" fillId="0" borderId="0" xfId="0" applyNumberFormat="1" applyFont="1" applyAlignment="1">
      <alignment horizontal="center" shrinkToFit="1"/>
    </xf>
    <xf numFmtId="2" fontId="3" fillId="0" borderId="0" xfId="0" applyNumberFormat="1" applyFont="1" applyAlignment="1">
      <alignment horizontal="center"/>
    </xf>
    <xf numFmtId="0" fontId="5" fillId="0" borderId="0" xfId="0" applyFont="1" applyAlignment="1">
      <alignment horizontal="left" vertical="top" wrapText="1"/>
    </xf>
    <xf numFmtId="0" fontId="2" fillId="0" borderId="0" xfId="1" applyAlignment="1">
      <alignment vertical="top"/>
    </xf>
    <xf numFmtId="0" fontId="7" fillId="0" borderId="0" xfId="1" applyFont="1" applyAlignment="1">
      <alignment vertical="top"/>
    </xf>
    <xf numFmtId="0" fontId="7" fillId="0" borderId="0" xfId="1" applyFont="1"/>
    <xf numFmtId="0" fontId="6" fillId="2" borderId="1" xfId="1" applyFont="1" applyFill="1" applyBorder="1" applyAlignment="1">
      <alignment horizontal="center" vertical="top"/>
    </xf>
    <xf numFmtId="0" fontId="7" fillId="2" borderId="1" xfId="1" applyFont="1" applyFill="1" applyBorder="1" applyAlignment="1">
      <alignment vertical="top" wrapText="1"/>
    </xf>
    <xf numFmtId="0" fontId="2" fillId="2" borderId="1" xfId="1" applyFill="1" applyBorder="1" applyAlignment="1">
      <alignment horizontal="center"/>
    </xf>
    <xf numFmtId="2" fontId="2" fillId="2" borderId="1" xfId="1" applyNumberFormat="1" applyFill="1" applyBorder="1" applyAlignment="1">
      <alignment horizontal="center"/>
    </xf>
    <xf numFmtId="4" fontId="2" fillId="2" borderId="1" xfId="1" applyNumberFormat="1" applyFill="1" applyBorder="1" applyAlignment="1">
      <alignment horizontal="right"/>
    </xf>
    <xf numFmtId="0" fontId="7" fillId="0" borderId="0" xfId="1" quotePrefix="1" applyFont="1"/>
    <xf numFmtId="0" fontId="6" fillId="0" borderId="0" xfId="1" applyFont="1" applyAlignment="1">
      <alignment horizontal="center" vertical="top"/>
    </xf>
    <xf numFmtId="0" fontId="7" fillId="0" borderId="0" xfId="1" applyFont="1" applyAlignment="1">
      <alignment vertical="top" wrapText="1"/>
    </xf>
    <xf numFmtId="0" fontId="2" fillId="0" borderId="0" xfId="1" applyAlignment="1">
      <alignment vertical="justify" wrapText="1"/>
    </xf>
    <xf numFmtId="0" fontId="2" fillId="0" borderId="0" xfId="1" applyAlignment="1">
      <alignment vertical="top" wrapText="1"/>
    </xf>
    <xf numFmtId="0" fontId="1" fillId="2" borderId="1" xfId="1" applyFont="1" applyFill="1" applyBorder="1" applyAlignment="1">
      <alignment horizontal="center" vertical="top"/>
    </xf>
    <xf numFmtId="0" fontId="7" fillId="2" borderId="2" xfId="1" applyFont="1" applyFill="1" applyBorder="1" applyAlignment="1">
      <alignment vertical="top" wrapText="1"/>
    </xf>
    <xf numFmtId="0" fontId="7" fillId="2" borderId="3" xfId="1" applyFont="1" applyFill="1" applyBorder="1" applyAlignment="1">
      <alignment vertical="top" wrapText="1"/>
    </xf>
    <xf numFmtId="2" fontId="2" fillId="2" borderId="3" xfId="1" applyNumberFormat="1" applyFill="1" applyBorder="1" applyAlignment="1">
      <alignment horizontal="center"/>
    </xf>
    <xf numFmtId="4" fontId="2" fillId="2" borderId="4" xfId="1" applyNumberFormat="1" applyFill="1" applyBorder="1" applyAlignment="1">
      <alignment horizontal="right"/>
    </xf>
    <xf numFmtId="0" fontId="7" fillId="2" borderId="1" xfId="1" applyFont="1" applyFill="1" applyBorder="1" applyAlignment="1">
      <alignment vertical="top"/>
    </xf>
    <xf numFmtId="0" fontId="2" fillId="2" borderId="3" xfId="1" applyFill="1" applyBorder="1" applyAlignment="1">
      <alignment horizontal="center"/>
    </xf>
    <xf numFmtId="0" fontId="7" fillId="2" borderId="1" xfId="1" applyFont="1" applyFill="1" applyBorder="1" applyAlignment="1">
      <alignment horizontal="left" vertical="top" wrapText="1"/>
    </xf>
    <xf numFmtId="0" fontId="19" fillId="0" borderId="0" xfId="1" applyFont="1" applyAlignment="1">
      <alignment horizontal="justify"/>
    </xf>
    <xf numFmtId="0" fontId="1" fillId="0" borderId="0" xfId="1" applyFont="1" applyAlignment="1">
      <alignment horizontal="center"/>
    </xf>
    <xf numFmtId="0" fontId="13" fillId="0" borderId="0" xfId="1" applyFont="1"/>
    <xf numFmtId="0" fontId="13" fillId="0" borderId="0" xfId="1" applyFont="1" applyAlignment="1">
      <alignment horizontal="center"/>
    </xf>
    <xf numFmtId="2" fontId="13" fillId="0" borderId="0" xfId="1" applyNumberFormat="1" applyFont="1" applyAlignment="1">
      <alignment horizontal="center"/>
    </xf>
    <xf numFmtId="4" fontId="13" fillId="0" borderId="0" xfId="1" applyNumberFormat="1" applyFont="1" applyAlignment="1">
      <alignment horizontal="right"/>
    </xf>
    <xf numFmtId="0" fontId="26" fillId="2" borderId="2" xfId="1" applyFont="1" applyFill="1" applyBorder="1"/>
    <xf numFmtId="0" fontId="13" fillId="2" borderId="3" xfId="1" applyFont="1" applyFill="1" applyBorder="1" applyAlignment="1">
      <alignment horizontal="center"/>
    </xf>
    <xf numFmtId="2" fontId="13" fillId="2" borderId="3" xfId="1" applyNumberFormat="1" applyFont="1" applyFill="1" applyBorder="1" applyAlignment="1">
      <alignment horizontal="center"/>
    </xf>
    <xf numFmtId="0" fontId="26" fillId="0" borderId="0" xfId="1" applyFont="1"/>
    <xf numFmtId="0" fontId="7" fillId="2" borderId="1" xfId="3" applyFont="1" applyFill="1" applyBorder="1" applyAlignment="1">
      <alignment vertical="top" wrapText="1"/>
    </xf>
    <xf numFmtId="0" fontId="2" fillId="2" borderId="0" xfId="3" applyFill="1" applyAlignment="1">
      <alignment horizontal="center"/>
    </xf>
    <xf numFmtId="2" fontId="2" fillId="2" borderId="0" xfId="3" applyNumberFormat="1" applyFill="1" applyAlignment="1">
      <alignment horizontal="center"/>
    </xf>
    <xf numFmtId="4" fontId="2" fillId="2" borderId="0" xfId="3" applyNumberFormat="1" applyFill="1" applyAlignment="1">
      <alignment horizontal="right"/>
    </xf>
    <xf numFmtId="0" fontId="7" fillId="0" borderId="0" xfId="3" applyFont="1" applyAlignment="1">
      <alignment horizontal="center" vertical="top"/>
    </xf>
    <xf numFmtId="0" fontId="7" fillId="0" borderId="0" xfId="3" applyFont="1" applyAlignment="1">
      <alignment vertical="top"/>
    </xf>
    <xf numFmtId="0" fontId="2" fillId="0" borderId="0" xfId="3" applyAlignment="1">
      <alignment horizontal="center"/>
    </xf>
    <xf numFmtId="0" fontId="2" fillId="0" borderId="0" xfId="3" applyAlignment="1">
      <alignment vertical="justify" wrapText="1"/>
    </xf>
    <xf numFmtId="0" fontId="2" fillId="0" borderId="0" xfId="3" quotePrefix="1" applyAlignment="1">
      <alignment vertical="justify" wrapText="1"/>
    </xf>
    <xf numFmtId="0" fontId="2" fillId="0" borderId="0" xfId="3" applyAlignment="1">
      <alignment vertical="top" wrapText="1"/>
    </xf>
    <xf numFmtId="0" fontId="2" fillId="2" borderId="1" xfId="3" applyFill="1" applyBorder="1" applyAlignment="1">
      <alignment horizontal="center" vertical="top"/>
    </xf>
    <xf numFmtId="0" fontId="7" fillId="2" borderId="2" xfId="3" applyFont="1" applyFill="1" applyBorder="1" applyAlignment="1">
      <alignment wrapText="1"/>
    </xf>
    <xf numFmtId="0" fontId="2" fillId="2" borderId="3" xfId="3" applyFill="1" applyBorder="1" applyAlignment="1">
      <alignment horizontal="center"/>
    </xf>
    <xf numFmtId="2" fontId="2" fillId="2" borderId="3" xfId="3" applyNumberFormat="1" applyFill="1" applyBorder="1" applyAlignment="1">
      <alignment horizontal="center"/>
    </xf>
    <xf numFmtId="4" fontId="2" fillId="2" borderId="4" xfId="3" applyNumberFormat="1" applyFill="1" applyBorder="1" applyAlignment="1">
      <alignment horizontal="right"/>
    </xf>
    <xf numFmtId="0" fontId="1" fillId="2" borderId="0" xfId="1" applyFont="1" applyFill="1" applyAlignment="1">
      <alignment horizontal="center" vertical="top"/>
    </xf>
    <xf numFmtId="0" fontId="7" fillId="0" borderId="2" xfId="1" applyFont="1" applyBorder="1" applyAlignment="1">
      <alignment vertical="top" wrapText="1"/>
    </xf>
    <xf numFmtId="0" fontId="2" fillId="0" borderId="3" xfId="1" applyBorder="1" applyAlignment="1">
      <alignment horizontal="center"/>
    </xf>
    <xf numFmtId="2" fontId="2" fillId="0" borderId="3" xfId="1" applyNumberFormat="1" applyBorder="1" applyAlignment="1">
      <alignment horizontal="center"/>
    </xf>
    <xf numFmtId="4" fontId="2" fillId="0" borderId="4" xfId="1" applyNumberFormat="1" applyBorder="1" applyAlignment="1">
      <alignment horizontal="right"/>
    </xf>
    <xf numFmtId="2" fontId="2" fillId="0" borderId="3" xfId="1" applyNumberFormat="1" applyBorder="1" applyAlignment="1">
      <alignment horizontal="center" shrinkToFit="1"/>
    </xf>
    <xf numFmtId="2" fontId="2" fillId="0" borderId="0" xfId="1" applyNumberFormat="1" applyAlignment="1">
      <alignment horizontal="center" shrinkToFit="1"/>
    </xf>
    <xf numFmtId="0" fontId="6" fillId="0" borderId="6" xfId="1" applyFont="1" applyBorder="1" applyAlignment="1">
      <alignment horizontal="center" vertical="top"/>
    </xf>
    <xf numFmtId="0" fontId="2" fillId="0" borderId="9" xfId="1" applyBorder="1" applyAlignment="1">
      <alignment horizontal="center"/>
    </xf>
    <xf numFmtId="2" fontId="2" fillId="0" borderId="9" xfId="1" applyNumberFormat="1" applyBorder="1" applyAlignment="1">
      <alignment horizontal="center" shrinkToFit="1"/>
    </xf>
    <xf numFmtId="2" fontId="2" fillId="0" borderId="9" xfId="1" applyNumberFormat="1" applyBorder="1" applyAlignment="1">
      <alignment horizontal="center"/>
    </xf>
    <xf numFmtId="4" fontId="2" fillId="0" borderId="10" xfId="1" applyNumberFormat="1" applyBorder="1" applyAlignment="1">
      <alignment horizontal="right"/>
    </xf>
    <xf numFmtId="4" fontId="7" fillId="0" borderId="4" xfId="1" applyNumberFormat="1" applyFont="1" applyBorder="1" applyAlignment="1">
      <alignment horizontal="right"/>
    </xf>
    <xf numFmtId="1" fontId="28" fillId="0" borderId="0" xfId="0" applyNumberFormat="1" applyFont="1" applyAlignment="1">
      <alignment horizontal="center"/>
    </xf>
    <xf numFmtId="0" fontId="7" fillId="0" borderId="3" xfId="1" applyFont="1" applyBorder="1" applyAlignment="1">
      <alignment horizontal="center"/>
    </xf>
    <xf numFmtId="2" fontId="7" fillId="0" borderId="3" xfId="1" applyNumberFormat="1" applyFont="1" applyBorder="1" applyAlignment="1">
      <alignment horizontal="center" shrinkToFit="1"/>
    </xf>
    <xf numFmtId="2" fontId="7" fillId="0" borderId="3" xfId="1" applyNumberFormat="1" applyFont="1" applyBorder="1" applyAlignment="1">
      <alignment horizontal="center"/>
    </xf>
    <xf numFmtId="4" fontId="7" fillId="0" borderId="7" xfId="1" applyNumberFormat="1" applyFont="1" applyBorder="1" applyAlignment="1">
      <alignment horizontal="right"/>
    </xf>
    <xf numFmtId="0" fontId="1" fillId="0" borderId="0" xfId="1" applyFont="1" applyAlignment="1">
      <alignment vertical="top" wrapText="1"/>
    </xf>
    <xf numFmtId="0" fontId="2" fillId="0" borderId="0" xfId="1" applyAlignment="1">
      <alignment horizontal="right"/>
    </xf>
    <xf numFmtId="0" fontId="6" fillId="0" borderId="0" xfId="1" applyFont="1" applyAlignment="1">
      <alignment horizontal="center" vertical="center"/>
    </xf>
    <xf numFmtId="2" fontId="7" fillId="0" borderId="0" xfId="1" applyNumberFormat="1" applyFont="1" applyAlignment="1">
      <alignment vertical="center"/>
    </xf>
    <xf numFmtId="0" fontId="2" fillId="0" borderId="0" xfId="1" applyAlignment="1">
      <alignment wrapText="1"/>
    </xf>
    <xf numFmtId="0" fontId="33" fillId="0" borderId="0" xfId="0" applyFont="1" applyAlignment="1">
      <alignment horizontal="left" wrapText="1"/>
    </xf>
    <xf numFmtId="0" fontId="34" fillId="0" borderId="0" xfId="0" applyFont="1" applyAlignment="1">
      <alignment wrapText="1"/>
    </xf>
    <xf numFmtId="0" fontId="33" fillId="0" borderId="0" xfId="0" applyFont="1"/>
    <xf numFmtId="0" fontId="36" fillId="0" borderId="0" xfId="0" applyFont="1" applyAlignment="1">
      <alignment horizontal="left" vertical="top" wrapText="1"/>
    </xf>
    <xf numFmtId="0" fontId="31" fillId="0" borderId="0" xfId="1" applyFont="1" applyAlignment="1">
      <alignment horizontal="center" vertical="top"/>
    </xf>
    <xf numFmtId="0" fontId="31" fillId="0" borderId="0" xfId="1" applyFont="1" applyAlignment="1">
      <alignment vertical="top" wrapText="1"/>
    </xf>
    <xf numFmtId="0" fontId="31" fillId="0" borderId="0" xfId="1" applyFont="1" applyAlignment="1">
      <alignment horizontal="center"/>
    </xf>
    <xf numFmtId="0" fontId="31" fillId="0" borderId="0" xfId="1" applyFont="1"/>
    <xf numFmtId="2" fontId="31" fillId="0" borderId="0" xfId="1" applyNumberFormat="1" applyFont="1" applyAlignment="1">
      <alignment horizontal="center"/>
    </xf>
    <xf numFmtId="0" fontId="32" fillId="0" borderId="0" xfId="1" applyFont="1" applyAlignment="1">
      <alignment vertical="top" wrapText="1"/>
    </xf>
    <xf numFmtId="0" fontId="35" fillId="0" borderId="0" xfId="1" quotePrefix="1" applyFont="1" applyAlignment="1">
      <alignment vertical="top" wrapText="1"/>
    </xf>
    <xf numFmtId="0" fontId="35" fillId="0" borderId="0" xfId="0" quotePrefix="1" applyFont="1" applyAlignment="1">
      <alignment horizontal="left" vertical="center" wrapText="1"/>
    </xf>
    <xf numFmtId="0" fontId="2" fillId="0" borderId="5" xfId="1" applyBorder="1" applyAlignment="1">
      <alignment horizontal="center"/>
    </xf>
    <xf numFmtId="2" fontId="2" fillId="0" borderId="5" xfId="1" applyNumberFormat="1" applyBorder="1" applyAlignment="1">
      <alignment horizontal="center" shrinkToFit="1"/>
    </xf>
    <xf numFmtId="2" fontId="2" fillId="0" borderId="5" xfId="1" applyNumberFormat="1" applyBorder="1" applyAlignment="1">
      <alignment horizontal="center"/>
    </xf>
    <xf numFmtId="4" fontId="2" fillId="0" borderId="7" xfId="1" applyNumberFormat="1" applyBorder="1" applyAlignment="1">
      <alignment horizontal="right"/>
    </xf>
    <xf numFmtId="0" fontId="7" fillId="0" borderId="3" xfId="1" applyFont="1" applyBorder="1" applyAlignment="1">
      <alignment vertical="top" wrapText="1"/>
    </xf>
    <xf numFmtId="0" fontId="3" fillId="0" borderId="8" xfId="1" applyFont="1" applyBorder="1" applyAlignment="1">
      <alignment horizontal="left"/>
    </xf>
    <xf numFmtId="2" fontId="0" fillId="0" borderId="0" xfId="0" applyNumberFormat="1" applyAlignment="1" applyProtection="1">
      <alignment horizontal="center"/>
      <protection locked="0"/>
    </xf>
    <xf numFmtId="2" fontId="31" fillId="0" borderId="0" xfId="1" applyNumberFormat="1" applyFont="1" applyAlignment="1" applyProtection="1">
      <alignment horizontal="center"/>
      <protection locked="0"/>
    </xf>
    <xf numFmtId="2" fontId="2" fillId="0" borderId="0" xfId="0" applyNumberFormat="1" applyFont="1" applyAlignment="1" applyProtection="1">
      <alignment horizontal="center"/>
      <protection locked="0"/>
    </xf>
    <xf numFmtId="2" fontId="2" fillId="0" borderId="0" xfId="1" applyNumberFormat="1" applyAlignment="1" applyProtection="1">
      <alignment horizontal="center"/>
      <protection locked="0"/>
    </xf>
    <xf numFmtId="2" fontId="5" fillId="0" borderId="0" xfId="1" applyNumberFormat="1" applyFont="1" applyAlignment="1" applyProtection="1">
      <alignment horizontal="center"/>
      <protection locked="0"/>
    </xf>
    <xf numFmtId="0" fontId="2" fillId="0" borderId="0" xfId="1" applyProtection="1">
      <protection locked="0"/>
    </xf>
    <xf numFmtId="2" fontId="5" fillId="0" borderId="0" xfId="0" applyNumberFormat="1" applyFont="1" applyAlignment="1" applyProtection="1">
      <alignment horizontal="center"/>
      <protection locked="0"/>
    </xf>
    <xf numFmtId="2" fontId="0" fillId="2" borderId="3" xfId="0" applyNumberFormat="1" applyFill="1" applyBorder="1" applyAlignment="1" applyProtection="1">
      <alignment horizontal="center"/>
      <protection locked="0"/>
    </xf>
    <xf numFmtId="2" fontId="0" fillId="2" borderId="0" xfId="0" applyNumberFormat="1" applyFill="1" applyAlignment="1" applyProtection="1">
      <alignment horizontal="center"/>
      <protection locked="0"/>
    </xf>
    <xf numFmtId="2" fontId="1" fillId="0" borderId="0" xfId="0" applyNumberFormat="1" applyFont="1" applyAlignment="1" applyProtection="1">
      <alignment horizontal="center"/>
      <protection locked="0"/>
    </xf>
    <xf numFmtId="2" fontId="16" fillId="0" borderId="0" xfId="3" applyNumberFormat="1" applyFont="1" applyAlignment="1" applyProtection="1">
      <alignment horizontal="center"/>
      <protection locked="0"/>
    </xf>
    <xf numFmtId="2" fontId="2" fillId="0" borderId="0" xfId="3" applyNumberFormat="1" applyAlignment="1" applyProtection="1">
      <alignment horizontal="center"/>
      <protection locked="0"/>
    </xf>
    <xf numFmtId="2" fontId="5" fillId="0" borderId="0" xfId="4" applyNumberFormat="1" applyAlignment="1" applyProtection="1">
      <alignment horizontal="center"/>
      <protection locked="0"/>
    </xf>
    <xf numFmtId="2" fontId="16" fillId="0" borderId="0" xfId="0" applyNumberFormat="1" applyFont="1" applyAlignment="1" applyProtection="1">
      <alignment horizontal="center"/>
      <protection locked="0"/>
    </xf>
    <xf numFmtId="2" fontId="16" fillId="0" borderId="0" xfId="0" applyNumberFormat="1" applyFont="1" applyAlignment="1" applyProtection="1">
      <alignment horizontal="right"/>
      <protection locked="0"/>
    </xf>
    <xf numFmtId="2" fontId="5" fillId="0" borderId="0" xfId="3" applyNumberFormat="1" applyFont="1" applyAlignment="1" applyProtection="1">
      <alignment horizontal="center"/>
      <protection locked="0"/>
    </xf>
    <xf numFmtId="2" fontId="23" fillId="0" borderId="0" xfId="0" applyNumberFormat="1" applyFont="1" applyAlignment="1" applyProtection="1">
      <alignment horizontal="right"/>
      <protection locked="0"/>
    </xf>
    <xf numFmtId="2" fontId="15" fillId="0" borderId="0" xfId="0" applyNumberFormat="1" applyFont="1" applyAlignment="1" applyProtection="1">
      <alignment horizontal="center"/>
      <protection locked="0"/>
    </xf>
    <xf numFmtId="2" fontId="13" fillId="0" borderId="0" xfId="0" applyNumberFormat="1" applyFont="1" applyAlignment="1" applyProtection="1">
      <alignment horizontal="center"/>
      <protection locked="0"/>
    </xf>
    <xf numFmtId="2" fontId="2" fillId="2" borderId="3" xfId="0" applyNumberFormat="1" applyFont="1" applyFill="1" applyBorder="1" applyAlignment="1" applyProtection="1">
      <alignment horizontal="right"/>
      <protection locked="0"/>
    </xf>
    <xf numFmtId="2" fontId="2" fillId="0" borderId="0" xfId="0" applyNumberFormat="1" applyFont="1" applyAlignment="1" applyProtection="1">
      <alignment horizontal="right"/>
      <protection locked="0"/>
    </xf>
    <xf numFmtId="0" fontId="2" fillId="0" borderId="0" xfId="3" applyProtection="1">
      <protection locked="0"/>
    </xf>
    <xf numFmtId="4" fontId="13" fillId="0" borderId="0" xfId="3" applyNumberFormat="1" applyFont="1" applyAlignment="1" applyProtection="1">
      <alignment horizontal="center"/>
      <protection locked="0"/>
    </xf>
    <xf numFmtId="2" fontId="13" fillId="0" borderId="0" xfId="0" applyNumberFormat="1" applyFont="1" applyAlignment="1" applyProtection="1">
      <alignment horizontal="right"/>
      <protection locked="0"/>
    </xf>
    <xf numFmtId="2" fontId="2" fillId="2" borderId="3" xfId="0" applyNumberFormat="1" applyFont="1" applyFill="1" applyBorder="1" applyAlignment="1" applyProtection="1">
      <alignment horizontal="center"/>
      <protection locked="0"/>
    </xf>
    <xf numFmtId="2" fontId="2" fillId="2" borderId="3" xfId="1" applyNumberFormat="1" applyFill="1" applyBorder="1" applyAlignment="1" applyProtection="1">
      <alignment horizontal="center"/>
      <protection locked="0"/>
    </xf>
    <xf numFmtId="2" fontId="2" fillId="2" borderId="1" xfId="1" applyNumberFormat="1" applyFill="1" applyBorder="1" applyAlignment="1" applyProtection="1">
      <alignment horizontal="center"/>
      <protection locked="0"/>
    </xf>
    <xf numFmtId="165" fontId="5" fillId="0" borderId="0" xfId="0" applyNumberFormat="1" applyFont="1" applyAlignment="1" applyProtection="1">
      <alignment horizontal="center"/>
      <protection locked="0"/>
    </xf>
    <xf numFmtId="165" fontId="2" fillId="0" borderId="0" xfId="1" applyNumberFormat="1" applyAlignment="1" applyProtection="1">
      <alignment horizontal="center"/>
      <protection locked="0"/>
    </xf>
    <xf numFmtId="4" fontId="13" fillId="0" borderId="0" xfId="1" applyNumberFormat="1" applyFont="1" applyAlignment="1" applyProtection="1">
      <alignment horizontal="center"/>
      <protection locked="0"/>
    </xf>
    <xf numFmtId="2" fontId="2" fillId="2" borderId="0" xfId="3" applyNumberFormat="1" applyFill="1" applyAlignment="1" applyProtection="1">
      <alignment horizontal="center"/>
      <protection locked="0"/>
    </xf>
    <xf numFmtId="2" fontId="2" fillId="2" borderId="3" xfId="3" applyNumberFormat="1" applyFill="1" applyBorder="1" applyAlignment="1" applyProtection="1">
      <alignment horizontal="center"/>
      <protection locked="0"/>
    </xf>
    <xf numFmtId="0" fontId="3" fillId="0" borderId="0" xfId="1" applyFont="1" applyAlignment="1">
      <alignment horizontal="center" vertical="top"/>
    </xf>
    <xf numFmtId="0" fontId="3" fillId="0" borderId="0" xfId="1" applyFont="1" applyAlignment="1">
      <alignment vertical="top" wrapText="1"/>
    </xf>
    <xf numFmtId="0" fontId="5" fillId="0" borderId="0" xfId="1" applyFont="1"/>
    <xf numFmtId="0" fontId="5" fillId="0" borderId="0" xfId="1" applyFont="1" applyProtection="1">
      <protection locked="0"/>
    </xf>
    <xf numFmtId="0" fontId="5" fillId="0" borderId="0" xfId="1" applyFont="1" applyAlignment="1">
      <alignment horizontal="center" vertical="top"/>
    </xf>
    <xf numFmtId="0" fontId="3" fillId="0" borderId="0" xfId="0" applyFont="1" applyAlignment="1">
      <alignment horizontal="left" wrapText="1"/>
    </xf>
    <xf numFmtId="0" fontId="5" fillId="0" borderId="0" xfId="1" applyFont="1" applyAlignment="1">
      <alignment vertical="top" wrapText="1"/>
    </xf>
    <xf numFmtId="0" fontId="37" fillId="0" borderId="0" xfId="1" applyFont="1"/>
    <xf numFmtId="1" fontId="5" fillId="0" borderId="0" xfId="1" applyNumberFormat="1" applyFont="1" applyAlignment="1">
      <alignment horizontal="center" vertical="center"/>
    </xf>
    <xf numFmtId="4" fontId="0" fillId="0" borderId="0" xfId="0" applyNumberFormat="1" applyAlignment="1">
      <alignment horizontal="right" indent="1"/>
    </xf>
    <xf numFmtId="4" fontId="34" fillId="0" borderId="0" xfId="0" applyNumberFormat="1" applyFont="1" applyAlignment="1">
      <alignment horizontal="right" wrapText="1" indent="1"/>
    </xf>
    <xf numFmtId="4" fontId="0" fillId="2" borderId="0" xfId="0" applyNumberFormat="1" applyFill="1" applyAlignment="1">
      <alignment horizontal="right" indent="1"/>
    </xf>
    <xf numFmtId="4" fontId="5" fillId="0" borderId="0" xfId="1" applyNumberFormat="1" applyFont="1" applyAlignment="1">
      <alignment horizontal="right" indent="1"/>
    </xf>
    <xf numFmtId="4" fontId="5" fillId="0" borderId="0" xfId="0" applyNumberFormat="1" applyFont="1" applyAlignment="1">
      <alignment horizontal="right" indent="1"/>
    </xf>
    <xf numFmtId="4" fontId="2" fillId="0" borderId="0" xfId="0" applyNumberFormat="1" applyFont="1" applyAlignment="1">
      <alignment horizontal="right" indent="1"/>
    </xf>
    <xf numFmtId="4" fontId="0" fillId="2" borderId="4" xfId="0" applyNumberFormat="1" applyFill="1" applyBorder="1" applyAlignment="1">
      <alignment horizontal="right" indent="1"/>
    </xf>
    <xf numFmtId="4" fontId="0" fillId="0" borderId="0" xfId="0" applyNumberFormat="1" applyAlignment="1">
      <alignment horizontal="right" indent="1" shrinkToFit="1"/>
    </xf>
    <xf numFmtId="4" fontId="2" fillId="0" borderId="0" xfId="3" applyNumberFormat="1" applyAlignment="1">
      <alignment horizontal="right" indent="1"/>
    </xf>
    <xf numFmtId="4" fontId="15" fillId="0" borderId="0" xfId="0" applyNumberFormat="1" applyFont="1" applyAlignment="1">
      <alignment horizontal="right" indent="1"/>
    </xf>
    <xf numFmtId="4" fontId="2" fillId="2" borderId="4" xfId="0" applyNumberFormat="1" applyFont="1" applyFill="1" applyBorder="1" applyAlignment="1">
      <alignment horizontal="right" indent="1"/>
    </xf>
    <xf numFmtId="4" fontId="13" fillId="0" borderId="0" xfId="0" applyNumberFormat="1" applyFont="1" applyAlignment="1">
      <alignment horizontal="right" indent="1"/>
    </xf>
    <xf numFmtId="4" fontId="2" fillId="0" borderId="4" xfId="0" applyNumberFormat="1" applyFont="1" applyBorder="1" applyAlignment="1">
      <alignment horizontal="right" indent="1"/>
    </xf>
    <xf numFmtId="4" fontId="2" fillId="0" borderId="5" xfId="0" applyNumberFormat="1" applyFont="1" applyBorder="1" applyAlignment="1">
      <alignment horizontal="right" indent="1"/>
    </xf>
    <xf numFmtId="4" fontId="2" fillId="0" borderId="6" xfId="0" applyNumberFormat="1" applyFont="1" applyBorder="1" applyAlignment="1">
      <alignment horizontal="right" indent="1"/>
    </xf>
    <xf numFmtId="4" fontId="7" fillId="0" borderId="4" xfId="0" applyNumberFormat="1" applyFont="1" applyBorder="1" applyAlignment="1">
      <alignment horizontal="right" indent="1"/>
    </xf>
    <xf numFmtId="4" fontId="7" fillId="0" borderId="7" xfId="0" applyNumberFormat="1" applyFont="1" applyBorder="1" applyAlignment="1">
      <alignment horizontal="right" indent="1"/>
    </xf>
    <xf numFmtId="0" fontId="2" fillId="0" borderId="0" xfId="0" applyFont="1" applyAlignment="1">
      <alignment horizontal="center" vertical="top"/>
    </xf>
    <xf numFmtId="0" fontId="2" fillId="0" borderId="0" xfId="0" applyFont="1" applyAlignment="1">
      <alignment horizontal="left" wrapText="1"/>
    </xf>
    <xf numFmtId="0" fontId="2" fillId="0" borderId="0" xfId="0" applyFont="1" applyAlignment="1">
      <alignment wrapText="1"/>
    </xf>
    <xf numFmtId="4" fontId="5" fillId="2" borderId="4" xfId="0" applyNumberFormat="1" applyFont="1" applyFill="1" applyBorder="1" applyAlignment="1">
      <alignment horizontal="right" indent="1" shrinkToFit="1"/>
    </xf>
    <xf numFmtId="0" fontId="4" fillId="0" borderId="0" xfId="0" applyFont="1" applyAlignment="1">
      <alignment horizontal="center"/>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14" fillId="0" borderId="0" xfId="0" applyFont="1" applyAlignment="1">
      <alignment horizontal="center"/>
    </xf>
    <xf numFmtId="0" fontId="14" fillId="0" borderId="0" xfId="0" applyFont="1" applyAlignment="1">
      <alignment horizont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14" fillId="0" borderId="0" xfId="0" applyFont="1" applyAlignment="1">
      <alignment horizontal="center" vertical="top" wrapText="1"/>
    </xf>
    <xf numFmtId="0" fontId="6" fillId="0" borderId="0" xfId="1" applyFont="1" applyAlignment="1">
      <alignment horizontal="center"/>
    </xf>
    <xf numFmtId="0" fontId="6" fillId="2" borderId="3" xfId="1" applyFont="1" applyFill="1" applyBorder="1" applyAlignment="1">
      <alignment horizontal="center"/>
    </xf>
  </cellXfs>
  <cellStyles count="8">
    <cellStyle name="Normal 10" xfId="3" xr:uid="{00000000-0005-0000-0000-000001000000}"/>
    <cellStyle name="Normal 10 2" xfId="4" xr:uid="{00000000-0005-0000-0000-000002000000}"/>
    <cellStyle name="Normal 13" xfId="2" xr:uid="{00000000-0005-0000-0000-000003000000}"/>
    <cellStyle name="Normal 19" xfId="1" xr:uid="{00000000-0005-0000-0000-000004000000}"/>
    <cellStyle name="Normal 2" xfId="5" xr:uid="{00000000-0005-0000-0000-000005000000}"/>
    <cellStyle name="Normal 58 2" xfId="6" xr:uid="{00000000-0005-0000-0000-000006000000}"/>
    <cellStyle name="Normalno" xfId="0" builtinId="0"/>
    <cellStyle name="Style 1"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64\HOME\DOCUME~1\PODOLS~1\LOCALS~1\Temp\Skanska%20nab&#237;dka-0403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pidmc\poslovi_2020\Documents%20and%20Settings\Renato\My%20Documents\Izbor\Izbor_TR_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E"/>
      <sheetName val="Naslovnica"/>
      <sheetName val="1.  ZEMLJANI"/>
      <sheetName val="2. BET. I ARM_BET"/>
      <sheetName val="3. ARMIRAČKI"/>
      <sheetName val="4. ZIDARSKI"/>
      <sheetName val="5. TESARSKI"/>
      <sheetName val="6. IZOLATERSKI"/>
      <sheetName val="7. FASADERSKI"/>
      <sheetName val="8. LIMARSKI"/>
      <sheetName val="9. SOB. LIČILAČKI"/>
      <sheetName val="10. KERAMIČARSKI"/>
      <sheetName val="11. PARKETARSKI"/>
      <sheetName val="12. STOLARSKI"/>
      <sheetName val="13. AL. BRAVARSKI"/>
      <sheetName val="14. PVC STOLARIJA"/>
      <sheetName val="15. OSTALI"/>
      <sheetName val="REKAPITULACIJA"/>
    </sheetNames>
    <sheetDataSet>
      <sheetData sheetId="0" refreshError="1"/>
      <sheetData sheetId="1" refreshError="1"/>
      <sheetData sheetId="2">
        <row r="3">
          <cell r="A3" t="str">
            <v>01.</v>
          </cell>
          <cell r="D3" t="str">
            <v>ZEMLJANI RADOVI</v>
          </cell>
        </row>
        <row r="5">
          <cell r="D5" t="str">
            <v>NAPOMENA:</v>
          </cell>
        </row>
        <row r="6">
          <cell r="D6" t="str">
            <v>U cijenu svake pojedine stavke uračunato:</v>
          </cell>
        </row>
        <row r="7">
          <cell r="D7" t="str">
            <v>-sav prijevoz iskopanog materijala, ili materijala dobivenog od rušenja, na gradsku deponiju. Posebni se odvoz materijala ne obračunava</v>
          </cell>
        </row>
        <row r="8">
          <cell r="D8" t="str">
            <v>-dobava i ugradnja svog potrebnog materijala, sav unutrašnji i vanjski transport,</v>
          </cell>
        </row>
        <row r="9">
          <cell r="D9" t="str">
            <v>-sve potrebne skele, podupiranja, razupiranja, osiguranje iskopa i susjednih objekata za dubinu iskopa do jedne etaže (3,0 m)</v>
          </cell>
        </row>
        <row r="10">
          <cell r="D10" t="str">
            <v>-izrada i uklanjanje svih prilaznih i radnih rampi,</v>
          </cell>
        </row>
        <row r="11">
          <cell r="D11" t="str">
            <v>-sva eventualna ispumpavanja voda u građevinskoj jami ili djelovima zgrade.</v>
          </cell>
        </row>
        <row r="12">
          <cell r="B12" t="str">
            <v xml:space="preserve"> </v>
          </cell>
        </row>
        <row r="13">
          <cell r="A13" t="str">
            <v xml:space="preserve"> </v>
          </cell>
          <cell r="B13" t="str">
            <v xml:space="preserve"> </v>
          </cell>
        </row>
        <row r="14">
          <cell r="A14" t="str">
            <v xml:space="preserve"> </v>
          </cell>
          <cell r="B14" t="str">
            <v xml:space="preserve"> </v>
          </cell>
        </row>
        <row r="15">
          <cell r="A15" t="str">
            <v>01.</v>
          </cell>
          <cell r="B15">
            <v>1</v>
          </cell>
          <cell r="D15" t="str">
            <v xml:space="preserve">Strojni široki iskop u zemlji za podrum. Iskop do dubine ~500cm). U cijenu su uračunata sva potrebna podupiranja i razupiranja, osiguranje iskopa i susjednih objekata, izrada prilaznih rampi, eventualni rad u vodi. Radovi vezani za osiguranje građevinske </v>
          </cell>
        </row>
        <row r="16">
          <cell r="A16" t="str">
            <v xml:space="preserve"> </v>
          </cell>
          <cell r="B16" t="str">
            <v xml:space="preserve"> </v>
          </cell>
          <cell r="E16" t="str">
            <v xml:space="preserve">m3 </v>
          </cell>
          <cell r="F16">
            <v>1478.559</v>
          </cell>
        </row>
        <row r="17">
          <cell r="A17" t="str">
            <v xml:space="preserve"> </v>
          </cell>
          <cell r="B17" t="str">
            <v xml:space="preserve"> </v>
          </cell>
        </row>
        <row r="18">
          <cell r="A18" t="str">
            <v>01.</v>
          </cell>
          <cell r="B18">
            <v>2</v>
          </cell>
          <cell r="D18" t="str">
            <v>Planiranje dna građevinske jame širokog iskopa i iskopa za trakaste temelje s točnošću ± 3 cm i nabijanje do modula stišljivosti tla od M=7000 kN/m3. Obračun po m2 isplanirane površine.</v>
          </cell>
        </row>
        <row r="19">
          <cell r="A19" t="str">
            <v xml:space="preserve"> </v>
          </cell>
          <cell r="B19" t="str">
            <v xml:space="preserve"> </v>
          </cell>
          <cell r="E19" t="str">
            <v xml:space="preserve">m2 </v>
          </cell>
          <cell r="F19">
            <v>301.49</v>
          </cell>
        </row>
        <row r="20">
          <cell r="A20" t="str">
            <v xml:space="preserve"> </v>
          </cell>
          <cell r="B20" t="str">
            <v xml:space="preserve"> </v>
          </cell>
        </row>
        <row r="21">
          <cell r="A21" t="str">
            <v>01.</v>
          </cell>
          <cell r="B21">
            <v>3</v>
          </cell>
          <cell r="D21" t="str">
            <v>Nasipavanje uz obodne zidove podruma materijalom dobivenim iz iskopa s nabijanjem u slojevima od 50 cm do modula stišljivosti tla od M=7000 kN/m3.</v>
          </cell>
        </row>
        <row r="22">
          <cell r="A22" t="str">
            <v xml:space="preserve"> </v>
          </cell>
          <cell r="B22" t="str">
            <v xml:space="preserve"> </v>
          </cell>
          <cell r="E22" t="str">
            <v>m3</v>
          </cell>
          <cell r="F22">
            <v>19.487600000000004</v>
          </cell>
        </row>
        <row r="23">
          <cell r="A23" t="str">
            <v xml:space="preserve"> </v>
          </cell>
          <cell r="B23" t="str">
            <v xml:space="preserve"> </v>
          </cell>
        </row>
        <row r="24">
          <cell r="A24" t="str">
            <v>01.</v>
          </cell>
          <cell r="B24">
            <v>4</v>
          </cell>
          <cell r="D24" t="str">
            <v>Izrada kamenog nabačaja (kaldrme) od kamena lomljenca debljine 15 cm s nabijanjem i izravnavanjem s točnošću ± 3 cm.</v>
          </cell>
        </row>
        <row r="25">
          <cell r="A25" t="str">
            <v xml:space="preserve"> </v>
          </cell>
          <cell r="B25" t="str">
            <v xml:space="preserve"> </v>
          </cell>
          <cell r="E25" t="str">
            <v xml:space="preserve">m3  </v>
          </cell>
          <cell r="F25">
            <v>45.223500000000001</v>
          </cell>
        </row>
        <row r="26">
          <cell r="A26" t="str">
            <v xml:space="preserve"> </v>
          </cell>
          <cell r="B26" t="str">
            <v xml:space="preserve"> </v>
          </cell>
        </row>
        <row r="28">
          <cell r="A28" t="str">
            <v>01.</v>
          </cell>
          <cell r="D28" t="str">
            <v>UKUPNO ZEMLJANI RADOVI:</v>
          </cell>
        </row>
      </sheetData>
      <sheetData sheetId="3"/>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1393"/>
  <sheetViews>
    <sheetView tabSelected="1" view="pageBreakPreview" zoomScaleNormal="100" zoomScaleSheetLayoutView="100" workbookViewId="0"/>
  </sheetViews>
  <sheetFormatPr defaultRowHeight="12.75" x14ac:dyDescent="0.2"/>
  <cols>
    <col min="1" max="1" width="7" style="1" customWidth="1"/>
    <col min="2" max="2" width="42.28515625" style="28" customWidth="1"/>
    <col min="3" max="3" width="9.140625" style="3"/>
    <col min="4" max="4" width="9.140625" style="4"/>
    <col min="5" max="5" width="10.7109375" style="4" bestFit="1" customWidth="1"/>
    <col min="6" max="6" width="12.140625" style="300" customWidth="1"/>
    <col min="7" max="9" width="0" hidden="1" customWidth="1"/>
    <col min="10" max="10" width="10.28515625" hidden="1" customWidth="1"/>
    <col min="13" max="15" width="24.85546875" customWidth="1"/>
  </cols>
  <sheetData>
    <row r="3" spans="1:6" x14ac:dyDescent="0.2">
      <c r="B3" s="2"/>
    </row>
    <row r="4" spans="1:6" x14ac:dyDescent="0.2">
      <c r="B4" s="5"/>
    </row>
    <row r="5" spans="1:6" ht="15" customHeight="1" x14ac:dyDescent="0.25">
      <c r="B5" s="6"/>
      <c r="C5" s="243"/>
      <c r="D5" s="242"/>
      <c r="E5" s="242"/>
      <c r="F5" s="301"/>
    </row>
    <row r="6" spans="1:6" x14ac:dyDescent="0.2">
      <c r="B6" s="5" t="s">
        <v>0</v>
      </c>
    </row>
    <row r="7" spans="1:6" x14ac:dyDescent="0.2">
      <c r="A7" s="1" t="s">
        <v>1</v>
      </c>
      <c r="B7" s="7" t="s">
        <v>2</v>
      </c>
    </row>
    <row r="8" spans="1:6" x14ac:dyDescent="0.2">
      <c r="B8" s="8" t="s">
        <v>3</v>
      </c>
    </row>
    <row r="9" spans="1:6" x14ac:dyDescent="0.2">
      <c r="B9" s="2"/>
    </row>
    <row r="10" spans="1:6" x14ac:dyDescent="0.2">
      <c r="A10" s="9" t="s">
        <v>4</v>
      </c>
      <c r="B10" s="10" t="s">
        <v>5</v>
      </c>
      <c r="C10" s="11" t="s">
        <v>6</v>
      </c>
      <c r="D10" s="12" t="s">
        <v>7</v>
      </c>
      <c r="E10" s="12" t="s">
        <v>8</v>
      </c>
      <c r="F10" s="302" t="s">
        <v>9</v>
      </c>
    </row>
    <row r="11" spans="1:6" x14ac:dyDescent="0.2">
      <c r="A11" s="13"/>
      <c r="B11" s="5"/>
    </row>
    <row r="12" spans="1:6" x14ac:dyDescent="0.2">
      <c r="B12" s="14" t="s">
        <v>10</v>
      </c>
    </row>
    <row r="13" spans="1:6" x14ac:dyDescent="0.2">
      <c r="B13" s="241"/>
      <c r="E13" s="259"/>
    </row>
    <row r="14" spans="1:6" s="293" customFormat="1" ht="28.5" customHeight="1" x14ac:dyDescent="0.2">
      <c r="A14" s="291" t="s">
        <v>11</v>
      </c>
      <c r="B14" s="292" t="s">
        <v>483</v>
      </c>
      <c r="C14" s="32"/>
      <c r="E14" s="294"/>
      <c r="F14" s="303"/>
    </row>
    <row r="15" spans="1:6" s="293" customFormat="1" ht="15" customHeight="1" x14ac:dyDescent="0.2">
      <c r="A15" s="295"/>
      <c r="B15" s="296" t="s">
        <v>13</v>
      </c>
      <c r="C15" s="32"/>
      <c r="E15" s="294"/>
      <c r="F15" s="303"/>
    </row>
    <row r="16" spans="1:6" s="293" customFormat="1" ht="28.5" customHeight="1" x14ac:dyDescent="0.2">
      <c r="A16" s="299">
        <v>1</v>
      </c>
      <c r="B16" s="297" t="s">
        <v>436</v>
      </c>
      <c r="C16" s="32" t="s">
        <v>432</v>
      </c>
      <c r="D16" s="38">
        <v>10</v>
      </c>
      <c r="E16" s="263"/>
      <c r="F16" s="304">
        <f>ROUND(D16*E16,2)</f>
        <v>0</v>
      </c>
    </row>
    <row r="17" spans="1:6" s="293" customFormat="1" ht="28.5" customHeight="1" x14ac:dyDescent="0.2">
      <c r="A17" s="299">
        <v>2</v>
      </c>
      <c r="B17" s="297" t="s">
        <v>437</v>
      </c>
      <c r="C17" s="32" t="s">
        <v>432</v>
      </c>
      <c r="D17" s="38">
        <v>20</v>
      </c>
      <c r="E17" s="263"/>
      <c r="F17" s="304">
        <f t="shared" ref="F17:F78" si="0">ROUND(D17*E17,2)</f>
        <v>0</v>
      </c>
    </row>
    <row r="18" spans="1:6" s="293" customFormat="1" ht="28.5" customHeight="1" x14ac:dyDescent="0.2">
      <c r="A18" s="299">
        <v>3</v>
      </c>
      <c r="B18" s="297" t="s">
        <v>438</v>
      </c>
      <c r="C18" s="32" t="s">
        <v>439</v>
      </c>
      <c r="D18" s="38">
        <v>35</v>
      </c>
      <c r="E18" s="263"/>
      <c r="F18" s="304">
        <f t="shared" si="0"/>
        <v>0</v>
      </c>
    </row>
    <row r="19" spans="1:6" s="293" customFormat="1" ht="28.5" customHeight="1" x14ac:dyDescent="0.2">
      <c r="A19" s="299">
        <v>4</v>
      </c>
      <c r="B19" s="297" t="s">
        <v>440</v>
      </c>
      <c r="C19" s="32" t="s">
        <v>432</v>
      </c>
      <c r="D19" s="38">
        <v>10</v>
      </c>
      <c r="E19" s="263"/>
      <c r="F19" s="304">
        <f t="shared" si="0"/>
        <v>0</v>
      </c>
    </row>
    <row r="20" spans="1:6" s="293" customFormat="1" ht="28.5" customHeight="1" x14ac:dyDescent="0.2">
      <c r="A20" s="299">
        <v>5</v>
      </c>
      <c r="B20" s="297" t="s">
        <v>441</v>
      </c>
      <c r="C20" s="32" t="s">
        <v>432</v>
      </c>
      <c r="D20" s="38">
        <v>15</v>
      </c>
      <c r="E20" s="263"/>
      <c r="F20" s="304">
        <f t="shared" si="0"/>
        <v>0</v>
      </c>
    </row>
    <row r="21" spans="1:6" s="293" customFormat="1" ht="25.5" x14ac:dyDescent="0.2">
      <c r="A21" s="299">
        <v>6</v>
      </c>
      <c r="B21" s="297" t="s">
        <v>442</v>
      </c>
      <c r="C21" s="32" t="s">
        <v>90</v>
      </c>
      <c r="D21" s="38">
        <v>10</v>
      </c>
      <c r="E21" s="263"/>
      <c r="F21" s="304">
        <f t="shared" si="0"/>
        <v>0</v>
      </c>
    </row>
    <row r="22" spans="1:6" s="293" customFormat="1" x14ac:dyDescent="0.2">
      <c r="A22" s="295"/>
      <c r="B22" s="297"/>
      <c r="C22" s="32"/>
      <c r="D22" s="38"/>
      <c r="E22" s="263"/>
      <c r="F22" s="304"/>
    </row>
    <row r="23" spans="1:6" s="293" customFormat="1" ht="25.5" x14ac:dyDescent="0.2">
      <c r="A23" s="295"/>
      <c r="B23" s="292" t="s">
        <v>435</v>
      </c>
      <c r="C23" s="32"/>
      <c r="D23" s="38"/>
      <c r="E23" s="263"/>
      <c r="F23" s="304"/>
    </row>
    <row r="24" spans="1:6" s="293" customFormat="1" x14ac:dyDescent="0.2">
      <c r="A24" s="295"/>
      <c r="B24" s="296" t="s">
        <v>16</v>
      </c>
      <c r="C24" s="32"/>
      <c r="E24" s="294"/>
      <c r="F24" s="304"/>
    </row>
    <row r="25" spans="1:6" s="293" customFormat="1" ht="25.5" x14ac:dyDescent="0.2">
      <c r="A25" s="299">
        <v>7</v>
      </c>
      <c r="B25" s="297" t="s">
        <v>436</v>
      </c>
      <c r="C25" s="32" t="s">
        <v>432</v>
      </c>
      <c r="D25" s="38">
        <v>10</v>
      </c>
      <c r="E25" s="263"/>
      <c r="F25" s="304">
        <f t="shared" si="0"/>
        <v>0</v>
      </c>
    </row>
    <row r="26" spans="1:6" s="293" customFormat="1" ht="25.5" x14ac:dyDescent="0.2">
      <c r="A26" s="299">
        <v>8</v>
      </c>
      <c r="B26" s="297" t="s">
        <v>437</v>
      </c>
      <c r="C26" s="32" t="s">
        <v>432</v>
      </c>
      <c r="D26" s="38">
        <v>20</v>
      </c>
      <c r="E26" s="263"/>
      <c r="F26" s="304">
        <f t="shared" si="0"/>
        <v>0</v>
      </c>
    </row>
    <row r="27" spans="1:6" s="293" customFormat="1" ht="25.5" x14ac:dyDescent="0.2">
      <c r="A27" s="299">
        <v>9</v>
      </c>
      <c r="B27" s="297" t="s">
        <v>438</v>
      </c>
      <c r="C27" s="32" t="s">
        <v>439</v>
      </c>
      <c r="D27" s="38">
        <v>35</v>
      </c>
      <c r="E27" s="263"/>
      <c r="F27" s="304">
        <f t="shared" si="0"/>
        <v>0</v>
      </c>
    </row>
    <row r="28" spans="1:6" s="293" customFormat="1" ht="25.5" x14ac:dyDescent="0.2">
      <c r="A28" s="299">
        <v>10</v>
      </c>
      <c r="B28" s="297" t="s">
        <v>440</v>
      </c>
      <c r="C28" s="32" t="s">
        <v>432</v>
      </c>
      <c r="D28" s="38">
        <v>10</v>
      </c>
      <c r="E28" s="263"/>
      <c r="F28" s="304">
        <f t="shared" si="0"/>
        <v>0</v>
      </c>
    </row>
    <row r="29" spans="1:6" s="293" customFormat="1" ht="25.5" x14ac:dyDescent="0.2">
      <c r="A29" s="299">
        <v>11</v>
      </c>
      <c r="B29" s="297" t="s">
        <v>441</v>
      </c>
      <c r="C29" s="32" t="s">
        <v>432</v>
      </c>
      <c r="D29" s="38">
        <v>15</v>
      </c>
      <c r="E29" s="263"/>
      <c r="F29" s="304">
        <f t="shared" si="0"/>
        <v>0</v>
      </c>
    </row>
    <row r="30" spans="1:6" s="293" customFormat="1" ht="25.5" x14ac:dyDescent="0.2">
      <c r="A30" s="299">
        <v>12</v>
      </c>
      <c r="B30" s="297" t="s">
        <v>442</v>
      </c>
      <c r="C30" s="32" t="s">
        <v>90</v>
      </c>
      <c r="D30" s="38">
        <v>10</v>
      </c>
      <c r="E30" s="263"/>
      <c r="F30" s="304">
        <f t="shared" si="0"/>
        <v>0</v>
      </c>
    </row>
    <row r="31" spans="1:6" s="293" customFormat="1" x14ac:dyDescent="0.2">
      <c r="B31" s="297"/>
      <c r="C31" s="32"/>
      <c r="D31" s="38"/>
      <c r="E31" s="263"/>
      <c r="F31" s="304"/>
    </row>
    <row r="32" spans="1:6" s="293" customFormat="1" ht="25.5" x14ac:dyDescent="0.2">
      <c r="A32" s="295"/>
      <c r="B32" s="292" t="s">
        <v>435</v>
      </c>
      <c r="C32" s="32"/>
      <c r="D32" s="38"/>
      <c r="E32" s="263"/>
      <c r="F32" s="304"/>
    </row>
    <row r="33" spans="1:6" s="293" customFormat="1" x14ac:dyDescent="0.2">
      <c r="A33" s="295"/>
      <c r="B33" s="296" t="s">
        <v>18</v>
      </c>
      <c r="C33" s="32"/>
      <c r="E33" s="294"/>
      <c r="F33" s="304"/>
    </row>
    <row r="34" spans="1:6" s="293" customFormat="1" ht="25.5" x14ac:dyDescent="0.2">
      <c r="A34" s="295">
        <v>13</v>
      </c>
      <c r="B34" s="297" t="s">
        <v>443</v>
      </c>
      <c r="C34" s="32" t="s">
        <v>432</v>
      </c>
      <c r="D34" s="38">
        <v>10</v>
      </c>
      <c r="E34" s="263"/>
      <c r="F34" s="304">
        <f t="shared" si="0"/>
        <v>0</v>
      </c>
    </row>
    <row r="35" spans="1:6" s="293" customFormat="1" ht="25.5" x14ac:dyDescent="0.2">
      <c r="A35" s="295">
        <v>14</v>
      </c>
      <c r="B35" s="297" t="s">
        <v>444</v>
      </c>
      <c r="C35" s="32" t="s">
        <v>432</v>
      </c>
      <c r="D35" s="38">
        <v>20</v>
      </c>
      <c r="E35" s="263"/>
      <c r="F35" s="304">
        <f t="shared" si="0"/>
        <v>0</v>
      </c>
    </row>
    <row r="36" spans="1:6" s="293" customFormat="1" ht="25.5" x14ac:dyDescent="0.2">
      <c r="A36" s="295">
        <v>15</v>
      </c>
      <c r="B36" s="297" t="s">
        <v>445</v>
      </c>
      <c r="C36" s="32" t="s">
        <v>439</v>
      </c>
      <c r="D36" s="38">
        <v>35</v>
      </c>
      <c r="E36" s="263"/>
      <c r="F36" s="304">
        <f t="shared" si="0"/>
        <v>0</v>
      </c>
    </row>
    <row r="37" spans="1:6" s="293" customFormat="1" x14ac:dyDescent="0.2">
      <c r="A37" s="295"/>
      <c r="B37" s="297"/>
      <c r="C37" s="32"/>
      <c r="D37" s="38"/>
      <c r="E37" s="263"/>
      <c r="F37" s="304"/>
    </row>
    <row r="38" spans="1:6" s="293" customFormat="1" ht="25.5" x14ac:dyDescent="0.2">
      <c r="A38" s="295"/>
      <c r="B38" s="297" t="s">
        <v>435</v>
      </c>
      <c r="E38" s="294"/>
      <c r="F38" s="304"/>
    </row>
    <row r="39" spans="1:6" s="293" customFormat="1" x14ac:dyDescent="0.2">
      <c r="B39" s="296" t="s">
        <v>20</v>
      </c>
      <c r="E39" s="294"/>
      <c r="F39" s="304"/>
    </row>
    <row r="40" spans="1:6" s="293" customFormat="1" ht="25.5" x14ac:dyDescent="0.2">
      <c r="A40" s="295">
        <v>16</v>
      </c>
      <c r="B40" s="297" t="s">
        <v>446</v>
      </c>
      <c r="C40" s="32" t="s">
        <v>432</v>
      </c>
      <c r="D40" s="38">
        <v>10</v>
      </c>
      <c r="E40" s="263"/>
      <c r="F40" s="304">
        <f t="shared" si="0"/>
        <v>0</v>
      </c>
    </row>
    <row r="41" spans="1:6" s="293" customFormat="1" ht="25.5" x14ac:dyDescent="0.2">
      <c r="A41" s="295">
        <v>17</v>
      </c>
      <c r="B41" s="297" t="s">
        <v>447</v>
      </c>
      <c r="C41" s="32" t="s">
        <v>432</v>
      </c>
      <c r="D41" s="38">
        <v>20</v>
      </c>
      <c r="E41" s="263"/>
      <c r="F41" s="304">
        <f t="shared" si="0"/>
        <v>0</v>
      </c>
    </row>
    <row r="42" spans="1:6" s="293" customFormat="1" ht="25.5" x14ac:dyDescent="0.2">
      <c r="A42" s="295">
        <v>18</v>
      </c>
      <c r="B42" s="297" t="s">
        <v>448</v>
      </c>
      <c r="C42" s="32" t="s">
        <v>439</v>
      </c>
      <c r="D42" s="38">
        <v>35</v>
      </c>
      <c r="E42" s="263"/>
      <c r="F42" s="304">
        <f t="shared" si="0"/>
        <v>0</v>
      </c>
    </row>
    <row r="43" spans="1:6" s="293" customFormat="1" x14ac:dyDescent="0.2">
      <c r="E43" s="294"/>
      <c r="F43" s="304"/>
    </row>
    <row r="44" spans="1:6" s="293" customFormat="1" ht="25.5" x14ac:dyDescent="0.2">
      <c r="A44" s="295"/>
      <c r="B44" s="297" t="s">
        <v>435</v>
      </c>
      <c r="E44" s="294"/>
      <c r="F44" s="304"/>
    </row>
    <row r="45" spans="1:6" s="293" customFormat="1" ht="25.5" x14ac:dyDescent="0.2">
      <c r="A45" s="298"/>
      <c r="B45" s="296" t="s">
        <v>22</v>
      </c>
      <c r="E45" s="294"/>
      <c r="F45" s="304"/>
    </row>
    <row r="46" spans="1:6" s="293" customFormat="1" ht="25.5" x14ac:dyDescent="0.2">
      <c r="A46" s="295">
        <v>19</v>
      </c>
      <c r="B46" s="297" t="s">
        <v>449</v>
      </c>
      <c r="C46" s="32" t="s">
        <v>432</v>
      </c>
      <c r="D46" s="38">
        <v>5</v>
      </c>
      <c r="E46" s="263"/>
      <c r="F46" s="304">
        <f t="shared" si="0"/>
        <v>0</v>
      </c>
    </row>
    <row r="47" spans="1:6" s="293" customFormat="1" ht="25.5" x14ac:dyDescent="0.2">
      <c r="A47" s="295">
        <v>20</v>
      </c>
      <c r="B47" s="297" t="s">
        <v>450</v>
      </c>
      <c r="C47" s="32" t="s">
        <v>432</v>
      </c>
      <c r="D47" s="38">
        <v>10</v>
      </c>
      <c r="E47" s="263"/>
      <c r="F47" s="304">
        <f t="shared" si="0"/>
        <v>0</v>
      </c>
    </row>
    <row r="48" spans="1:6" s="293" customFormat="1" ht="25.5" x14ac:dyDescent="0.2">
      <c r="A48" s="295">
        <v>21</v>
      </c>
      <c r="B48" s="297" t="s">
        <v>451</v>
      </c>
      <c r="C48" s="32" t="s">
        <v>439</v>
      </c>
      <c r="D48" s="38">
        <v>20</v>
      </c>
      <c r="E48" s="263"/>
      <c r="F48" s="304">
        <f t="shared" si="0"/>
        <v>0</v>
      </c>
    </row>
    <row r="49" spans="1:6" s="293" customFormat="1" x14ac:dyDescent="0.2">
      <c r="A49" s="295"/>
      <c r="B49" s="297"/>
      <c r="C49" s="32"/>
      <c r="D49" s="38"/>
      <c r="E49" s="263"/>
      <c r="F49" s="304"/>
    </row>
    <row r="50" spans="1:6" s="293" customFormat="1" ht="25.5" x14ac:dyDescent="0.2">
      <c r="A50" s="295"/>
      <c r="B50" s="297" t="s">
        <v>435</v>
      </c>
      <c r="C50" s="32"/>
      <c r="D50" s="38"/>
      <c r="E50" s="263"/>
      <c r="F50" s="304"/>
    </row>
    <row r="51" spans="1:6" s="293" customFormat="1" ht="25.5" x14ac:dyDescent="0.2">
      <c r="A51" s="295"/>
      <c r="B51" s="296" t="s">
        <v>24</v>
      </c>
      <c r="C51" s="32"/>
      <c r="D51" s="38"/>
      <c r="E51" s="263"/>
      <c r="F51" s="304"/>
    </row>
    <row r="52" spans="1:6" s="293" customFormat="1" ht="25.5" x14ac:dyDescent="0.2">
      <c r="A52" s="295">
        <v>22</v>
      </c>
      <c r="B52" s="297" t="s">
        <v>452</v>
      </c>
      <c r="C52" s="32" t="s">
        <v>432</v>
      </c>
      <c r="D52" s="38">
        <v>40</v>
      </c>
      <c r="E52" s="263"/>
      <c r="F52" s="304">
        <f t="shared" si="0"/>
        <v>0</v>
      </c>
    </row>
    <row r="53" spans="1:6" s="293" customFormat="1" ht="25.5" x14ac:dyDescent="0.2">
      <c r="A53" s="295">
        <v>23</v>
      </c>
      <c r="B53" s="297" t="s">
        <v>453</v>
      </c>
      <c r="C53" s="32" t="s">
        <v>432</v>
      </c>
      <c r="D53" s="38">
        <v>80</v>
      </c>
      <c r="E53" s="263"/>
      <c r="F53" s="304">
        <f t="shared" si="0"/>
        <v>0</v>
      </c>
    </row>
    <row r="54" spans="1:6" s="293" customFormat="1" ht="25.5" x14ac:dyDescent="0.2">
      <c r="A54" s="295">
        <v>24</v>
      </c>
      <c r="B54" s="297" t="s">
        <v>454</v>
      </c>
      <c r="C54" s="32" t="s">
        <v>439</v>
      </c>
      <c r="D54" s="38">
        <v>120</v>
      </c>
      <c r="E54" s="263"/>
      <c r="F54" s="304">
        <f t="shared" si="0"/>
        <v>0</v>
      </c>
    </row>
    <row r="55" spans="1:6" s="293" customFormat="1" x14ac:dyDescent="0.2">
      <c r="A55" s="295"/>
      <c r="B55" s="297"/>
      <c r="C55" s="32"/>
      <c r="D55" s="38"/>
      <c r="E55" s="263"/>
      <c r="F55" s="304"/>
    </row>
    <row r="56" spans="1:6" s="293" customFormat="1" ht="25.5" x14ac:dyDescent="0.2">
      <c r="A56" s="295"/>
      <c r="B56" s="297" t="s">
        <v>435</v>
      </c>
      <c r="C56" s="32"/>
      <c r="D56" s="38"/>
      <c r="E56" s="263"/>
      <c r="F56" s="304"/>
    </row>
    <row r="57" spans="1:6" s="293" customFormat="1" ht="25.5" x14ac:dyDescent="0.2">
      <c r="A57" s="295"/>
      <c r="B57" s="296" t="s">
        <v>28</v>
      </c>
      <c r="C57" s="32"/>
      <c r="D57" s="38"/>
      <c r="E57" s="263"/>
      <c r="F57" s="304"/>
    </row>
    <row r="58" spans="1:6" s="293" customFormat="1" ht="25.5" x14ac:dyDescent="0.2">
      <c r="A58" s="295">
        <v>25</v>
      </c>
      <c r="B58" s="297" t="s">
        <v>452</v>
      </c>
      <c r="C58" s="32" t="s">
        <v>432</v>
      </c>
      <c r="D58" s="38">
        <v>40</v>
      </c>
      <c r="E58" s="263"/>
      <c r="F58" s="304">
        <f t="shared" si="0"/>
        <v>0</v>
      </c>
    </row>
    <row r="59" spans="1:6" s="293" customFormat="1" ht="25.5" x14ac:dyDescent="0.2">
      <c r="A59" s="295">
        <v>26</v>
      </c>
      <c r="B59" s="297" t="s">
        <v>453</v>
      </c>
      <c r="C59" s="32" t="s">
        <v>432</v>
      </c>
      <c r="D59" s="38">
        <v>80</v>
      </c>
      <c r="E59" s="263"/>
      <c r="F59" s="304">
        <f t="shared" si="0"/>
        <v>0</v>
      </c>
    </row>
    <row r="60" spans="1:6" s="293" customFormat="1" ht="25.5" x14ac:dyDescent="0.2">
      <c r="A60" s="295">
        <v>27</v>
      </c>
      <c r="B60" s="297" t="s">
        <v>454</v>
      </c>
      <c r="C60" s="32" t="s">
        <v>439</v>
      </c>
      <c r="D60" s="38">
        <v>120</v>
      </c>
      <c r="E60" s="263"/>
      <c r="F60" s="304">
        <f t="shared" si="0"/>
        <v>0</v>
      </c>
    </row>
    <row r="61" spans="1:6" s="293" customFormat="1" x14ac:dyDescent="0.2">
      <c r="A61" s="295"/>
      <c r="B61" s="297"/>
      <c r="C61" s="32"/>
      <c r="D61" s="38"/>
      <c r="E61" s="263"/>
      <c r="F61" s="304"/>
    </row>
    <row r="62" spans="1:6" s="293" customFormat="1" ht="25.5" x14ac:dyDescent="0.2">
      <c r="A62" s="295"/>
      <c r="B62" s="297" t="s">
        <v>435</v>
      </c>
      <c r="C62" s="32"/>
      <c r="D62" s="38"/>
      <c r="E62" s="263"/>
      <c r="F62" s="304"/>
    </row>
    <row r="63" spans="1:6" s="293" customFormat="1" x14ac:dyDescent="0.2">
      <c r="A63" s="295"/>
      <c r="B63" s="297"/>
      <c r="C63" s="32"/>
      <c r="D63" s="38"/>
      <c r="E63" s="263"/>
      <c r="F63" s="304"/>
    </row>
    <row r="64" spans="1:6" s="293" customFormat="1" ht="25.5" x14ac:dyDescent="0.2">
      <c r="A64" s="295"/>
      <c r="B64" s="296" t="s">
        <v>30</v>
      </c>
      <c r="C64" s="32"/>
      <c r="D64" s="38"/>
      <c r="E64" s="263"/>
      <c r="F64" s="304"/>
    </row>
    <row r="65" spans="1:6" s="293" customFormat="1" ht="25.5" x14ac:dyDescent="0.2">
      <c r="A65" s="295">
        <v>28</v>
      </c>
      <c r="B65" s="297" t="s">
        <v>455</v>
      </c>
      <c r="C65" s="32" t="s">
        <v>432</v>
      </c>
      <c r="D65" s="38">
        <v>5</v>
      </c>
      <c r="E65" s="263"/>
      <c r="F65" s="304">
        <f t="shared" si="0"/>
        <v>0</v>
      </c>
    </row>
    <row r="66" spans="1:6" s="293" customFormat="1" ht="25.5" x14ac:dyDescent="0.2">
      <c r="A66" s="295">
        <v>29</v>
      </c>
      <c r="B66" s="297" t="s">
        <v>456</v>
      </c>
      <c r="C66" s="32" t="s">
        <v>432</v>
      </c>
      <c r="D66" s="38">
        <v>10</v>
      </c>
      <c r="E66" s="263"/>
      <c r="F66" s="304">
        <f t="shared" si="0"/>
        <v>0</v>
      </c>
    </row>
    <row r="67" spans="1:6" s="293" customFormat="1" ht="25.5" x14ac:dyDescent="0.2">
      <c r="A67" s="295">
        <v>30</v>
      </c>
      <c r="B67" s="297" t="s">
        <v>457</v>
      </c>
      <c r="C67" s="32" t="s">
        <v>439</v>
      </c>
      <c r="D67" s="38">
        <v>20</v>
      </c>
      <c r="E67" s="263"/>
      <c r="F67" s="304">
        <f t="shared" si="0"/>
        <v>0</v>
      </c>
    </row>
    <row r="68" spans="1:6" s="248" customFormat="1" x14ac:dyDescent="0.2">
      <c r="A68" s="245"/>
      <c r="B68" s="246"/>
      <c r="C68" s="247"/>
      <c r="D68" s="249"/>
      <c r="E68" s="260"/>
      <c r="F68" s="304"/>
    </row>
    <row r="69" spans="1:6" ht="155.25" customHeight="1" x14ac:dyDescent="0.2">
      <c r="A69" s="1" t="s">
        <v>31</v>
      </c>
      <c r="B69" s="15" t="s">
        <v>32</v>
      </c>
      <c r="E69" s="259"/>
      <c r="F69" s="304"/>
    </row>
    <row r="70" spans="1:6" x14ac:dyDescent="0.2">
      <c r="A70" s="1" t="s">
        <v>33</v>
      </c>
      <c r="B70" s="8" t="s">
        <v>34</v>
      </c>
      <c r="C70" s="3" t="s">
        <v>14</v>
      </c>
      <c r="D70" s="4">
        <v>1</v>
      </c>
      <c r="E70" s="259"/>
      <c r="F70" s="304">
        <f t="shared" si="0"/>
        <v>0</v>
      </c>
    </row>
    <row r="71" spans="1:6" x14ac:dyDescent="0.2">
      <c r="A71" s="1" t="s">
        <v>35</v>
      </c>
      <c r="B71" s="8" t="s">
        <v>36</v>
      </c>
      <c r="C71" s="3" t="s">
        <v>14</v>
      </c>
      <c r="D71" s="4">
        <v>1</v>
      </c>
      <c r="E71" s="259"/>
      <c r="F71" s="304">
        <f t="shared" si="0"/>
        <v>0</v>
      </c>
    </row>
    <row r="72" spans="1:6" x14ac:dyDescent="0.2">
      <c r="A72" s="1" t="s">
        <v>37</v>
      </c>
      <c r="B72" s="8" t="s">
        <v>18</v>
      </c>
      <c r="C72" s="3" t="s">
        <v>14</v>
      </c>
      <c r="D72" s="4">
        <v>1</v>
      </c>
      <c r="E72" s="259"/>
      <c r="F72" s="304">
        <f t="shared" si="0"/>
        <v>0</v>
      </c>
    </row>
    <row r="73" spans="1:6" x14ac:dyDescent="0.2">
      <c r="A73" s="1" t="s">
        <v>38</v>
      </c>
      <c r="B73" s="8" t="s">
        <v>20</v>
      </c>
      <c r="C73" s="3" t="s">
        <v>14</v>
      </c>
      <c r="D73" s="4">
        <v>1</v>
      </c>
      <c r="E73" s="259"/>
      <c r="F73" s="304">
        <f t="shared" si="0"/>
        <v>0</v>
      </c>
    </row>
    <row r="74" spans="1:6" ht="25.5" x14ac:dyDescent="0.2">
      <c r="A74" s="1" t="s">
        <v>39</v>
      </c>
      <c r="B74" s="8" t="s">
        <v>22</v>
      </c>
      <c r="C74" s="3" t="s">
        <v>14</v>
      </c>
      <c r="D74" s="4">
        <v>1</v>
      </c>
      <c r="E74" s="259"/>
      <c r="F74" s="304">
        <f t="shared" si="0"/>
        <v>0</v>
      </c>
    </row>
    <row r="75" spans="1:6" ht="25.5" x14ac:dyDescent="0.2">
      <c r="A75" s="1" t="s">
        <v>40</v>
      </c>
      <c r="B75" s="8" t="s">
        <v>24</v>
      </c>
      <c r="C75" s="3" t="s">
        <v>14</v>
      </c>
      <c r="D75" s="4">
        <v>1</v>
      </c>
      <c r="E75" s="259"/>
      <c r="F75" s="304">
        <f t="shared" si="0"/>
        <v>0</v>
      </c>
    </row>
    <row r="76" spans="1:6" ht="25.5" x14ac:dyDescent="0.2">
      <c r="A76" s="1" t="s">
        <v>41</v>
      </c>
      <c r="B76" s="8" t="s">
        <v>26</v>
      </c>
      <c r="C76" s="3" t="s">
        <v>14</v>
      </c>
      <c r="D76" s="4">
        <v>1</v>
      </c>
      <c r="E76" s="259"/>
      <c r="F76" s="304">
        <f t="shared" si="0"/>
        <v>0</v>
      </c>
    </row>
    <row r="77" spans="1:6" ht="25.5" x14ac:dyDescent="0.2">
      <c r="A77" s="1" t="s">
        <v>42</v>
      </c>
      <c r="B77" s="8" t="s">
        <v>28</v>
      </c>
      <c r="C77" s="3" t="s">
        <v>14</v>
      </c>
      <c r="D77" s="4">
        <v>1</v>
      </c>
      <c r="E77" s="259"/>
      <c r="F77" s="304">
        <f t="shared" si="0"/>
        <v>0</v>
      </c>
    </row>
    <row r="78" spans="1:6" ht="25.5" x14ac:dyDescent="0.2">
      <c r="A78" s="1" t="s">
        <v>43</v>
      </c>
      <c r="B78" s="8" t="s">
        <v>30</v>
      </c>
      <c r="C78" s="3" t="s">
        <v>14</v>
      </c>
      <c r="D78" s="4">
        <v>1</v>
      </c>
      <c r="E78" s="259"/>
      <c r="F78" s="304">
        <f t="shared" si="0"/>
        <v>0</v>
      </c>
    </row>
    <row r="79" spans="1:6" x14ac:dyDescent="0.2">
      <c r="B79" s="8"/>
      <c r="E79" s="259"/>
      <c r="F79" s="304"/>
    </row>
    <row r="80" spans="1:6" ht="91.5" customHeight="1" x14ac:dyDescent="0.2">
      <c r="A80" s="1" t="s">
        <v>44</v>
      </c>
      <c r="B80" s="15" t="s">
        <v>45</v>
      </c>
      <c r="E80" s="259"/>
      <c r="F80" s="304"/>
    </row>
    <row r="81" spans="1:8" ht="25.5" x14ac:dyDescent="0.2">
      <c r="A81" s="1" t="s">
        <v>46</v>
      </c>
      <c r="B81" s="8" t="s">
        <v>47</v>
      </c>
      <c r="C81" s="3" t="s">
        <v>48</v>
      </c>
      <c r="D81" s="4">
        <f>5*(4+2.5*2.9)</f>
        <v>56.25</v>
      </c>
      <c r="E81" s="259"/>
      <c r="F81" s="304">
        <f t="shared" ref="F81:F82" si="1">ROUND(D81*E81,2)</f>
        <v>0</v>
      </c>
    </row>
    <row r="82" spans="1:8" ht="14.25" x14ac:dyDescent="0.2">
      <c r="A82" s="1" t="s">
        <v>49</v>
      </c>
      <c r="B82" s="8" t="s">
        <v>50</v>
      </c>
      <c r="C82" s="3" t="s">
        <v>48</v>
      </c>
      <c r="D82" s="4">
        <v>20</v>
      </c>
      <c r="E82" s="259"/>
      <c r="F82" s="304">
        <f t="shared" si="1"/>
        <v>0</v>
      </c>
    </row>
    <row r="83" spans="1:8" x14ac:dyDescent="0.2">
      <c r="B83" s="8"/>
      <c r="E83" s="259"/>
      <c r="F83" s="304"/>
    </row>
    <row r="84" spans="1:8" ht="13.5" customHeight="1" x14ac:dyDescent="0.2">
      <c r="B84" s="171"/>
      <c r="E84" s="259"/>
      <c r="F84" s="304"/>
    </row>
    <row r="85" spans="1:8" ht="24.75" customHeight="1" x14ac:dyDescent="0.2">
      <c r="B85" s="17" t="s">
        <v>58</v>
      </c>
      <c r="D85" s="18"/>
      <c r="E85" s="261"/>
      <c r="F85" s="304"/>
    </row>
    <row r="86" spans="1:8" ht="190.5" customHeight="1" x14ac:dyDescent="0.2">
      <c r="A86" s="1" t="s">
        <v>59</v>
      </c>
      <c r="B86" s="20" t="s">
        <v>496</v>
      </c>
      <c r="D86" s="18"/>
      <c r="E86" s="261"/>
      <c r="F86" s="304"/>
    </row>
    <row r="87" spans="1:8" ht="13.5" customHeight="1" x14ac:dyDescent="0.2">
      <c r="B87" s="17" t="s">
        <v>60</v>
      </c>
      <c r="D87" s="18"/>
      <c r="E87" s="261"/>
      <c r="F87" s="304"/>
    </row>
    <row r="88" spans="1:8" ht="24" customHeight="1" x14ac:dyDescent="0.2">
      <c r="B88" s="17" t="s">
        <v>61</v>
      </c>
      <c r="D88" s="18"/>
      <c r="E88" s="261"/>
      <c r="F88" s="304"/>
    </row>
    <row r="89" spans="1:8" ht="13.5" customHeight="1" x14ac:dyDescent="0.2">
      <c r="B89" s="20" t="s">
        <v>62</v>
      </c>
      <c r="C89" s="3" t="s">
        <v>48</v>
      </c>
      <c r="D89" s="18">
        <f>0.2*0.2*G89</f>
        <v>0.20000000000000004</v>
      </c>
      <c r="E89" s="261"/>
      <c r="F89" s="304"/>
      <c r="G89">
        <v>5</v>
      </c>
    </row>
    <row r="90" spans="1:8" ht="13.5" customHeight="1" x14ac:dyDescent="0.2">
      <c r="B90" s="20" t="s">
        <v>63</v>
      </c>
      <c r="C90" s="3" t="s">
        <v>48</v>
      </c>
      <c r="D90" s="18">
        <f>0.2*0.2*G90</f>
        <v>0.20000000000000004</v>
      </c>
      <c r="E90" s="261"/>
      <c r="F90" s="304"/>
      <c r="G90">
        <v>5</v>
      </c>
    </row>
    <row r="91" spans="1:8" ht="13.5" customHeight="1" x14ac:dyDescent="0.2">
      <c r="B91" s="20" t="s">
        <v>64</v>
      </c>
      <c r="C91" s="3" t="s">
        <v>48</v>
      </c>
      <c r="D91" s="18">
        <f>0.2*0.2*G91</f>
        <v>0.20000000000000004</v>
      </c>
      <c r="E91" s="261"/>
      <c r="F91" s="304"/>
      <c r="G91">
        <v>5</v>
      </c>
    </row>
    <row r="92" spans="1:8" ht="13.5" customHeight="1" x14ac:dyDescent="0.2">
      <c r="B92" s="20" t="s">
        <v>65</v>
      </c>
      <c r="C92" s="3" t="s">
        <v>48</v>
      </c>
      <c r="D92" s="18">
        <f t="shared" ref="D92:D94" si="2">0.2*0.2*G92</f>
        <v>0.20000000000000004</v>
      </c>
      <c r="E92" s="261"/>
      <c r="F92" s="304"/>
      <c r="G92">
        <v>5</v>
      </c>
    </row>
    <row r="93" spans="1:8" ht="13.5" customHeight="1" x14ac:dyDescent="0.2">
      <c r="B93" s="20" t="s">
        <v>66</v>
      </c>
      <c r="C93" s="3" t="s">
        <v>48</v>
      </c>
      <c r="D93" s="18">
        <f t="shared" si="2"/>
        <v>0.20000000000000004</v>
      </c>
      <c r="E93" s="261"/>
      <c r="F93" s="304"/>
      <c r="G93">
        <v>5</v>
      </c>
    </row>
    <row r="94" spans="1:8" ht="13.5" customHeight="1" x14ac:dyDescent="0.2">
      <c r="B94" s="20" t="s">
        <v>67</v>
      </c>
      <c r="C94" s="3" t="s">
        <v>48</v>
      </c>
      <c r="D94" s="18">
        <f t="shared" si="2"/>
        <v>0.20000000000000004</v>
      </c>
      <c r="E94" s="261"/>
      <c r="F94" s="304"/>
      <c r="G94">
        <v>5</v>
      </c>
      <c r="H94">
        <f>SUM(G85:G94)</f>
        <v>30</v>
      </c>
    </row>
    <row r="95" spans="1:8" ht="13.5" customHeight="1" x14ac:dyDescent="0.2">
      <c r="B95" s="17" t="s">
        <v>68</v>
      </c>
      <c r="D95" s="18"/>
      <c r="E95" s="261"/>
      <c r="F95" s="304"/>
    </row>
    <row r="96" spans="1:8" ht="13.5" customHeight="1" x14ac:dyDescent="0.2">
      <c r="B96" s="20" t="s">
        <v>69</v>
      </c>
      <c r="C96" s="3" t="s">
        <v>48</v>
      </c>
      <c r="D96" s="18">
        <f>0.2*0.2*G96</f>
        <v>8.0000000000000016E-2</v>
      </c>
      <c r="E96" s="261"/>
      <c r="F96" s="304"/>
      <c r="G96">
        <v>2</v>
      </c>
    </row>
    <row r="97" spans="2:8" ht="13.5" customHeight="1" x14ac:dyDescent="0.2">
      <c r="B97" s="20" t="s">
        <v>70</v>
      </c>
      <c r="C97" s="3" t="s">
        <v>48</v>
      </c>
      <c r="D97" s="18">
        <f>0.2*0.2*G97</f>
        <v>8.0000000000000016E-2</v>
      </c>
      <c r="E97" s="261"/>
      <c r="F97" s="304"/>
      <c r="G97">
        <v>2</v>
      </c>
    </row>
    <row r="98" spans="2:8" ht="13.5" customHeight="1" x14ac:dyDescent="0.2">
      <c r="B98" s="20" t="s">
        <v>71</v>
      </c>
      <c r="C98" s="3" t="s">
        <v>48</v>
      </c>
      <c r="D98" s="18">
        <f>0.2*0.2*G98</f>
        <v>8.0000000000000016E-2</v>
      </c>
      <c r="E98" s="261"/>
      <c r="F98" s="304"/>
      <c r="G98">
        <v>2</v>
      </c>
    </row>
    <row r="99" spans="2:8" ht="13.5" customHeight="1" x14ac:dyDescent="0.2">
      <c r="B99" s="20" t="s">
        <v>72</v>
      </c>
      <c r="C99" s="3" t="s">
        <v>48</v>
      </c>
      <c r="D99" s="18">
        <f t="shared" ref="D99:D101" si="3">0.2*0.2*G99</f>
        <v>8.0000000000000016E-2</v>
      </c>
      <c r="E99" s="261"/>
      <c r="F99" s="304"/>
      <c r="G99">
        <v>2</v>
      </c>
    </row>
    <row r="100" spans="2:8" ht="13.5" customHeight="1" x14ac:dyDescent="0.2">
      <c r="B100" s="20" t="s">
        <v>73</v>
      </c>
      <c r="C100" s="3" t="s">
        <v>48</v>
      </c>
      <c r="D100" s="18">
        <f t="shared" si="3"/>
        <v>8.0000000000000016E-2</v>
      </c>
      <c r="E100" s="261"/>
      <c r="F100" s="304"/>
      <c r="G100">
        <v>2</v>
      </c>
    </row>
    <row r="101" spans="2:8" ht="13.5" customHeight="1" x14ac:dyDescent="0.2">
      <c r="B101" s="20" t="s">
        <v>74</v>
      </c>
      <c r="C101" s="3" t="s">
        <v>48</v>
      </c>
      <c r="D101" s="18">
        <f t="shared" si="3"/>
        <v>8.0000000000000016E-2</v>
      </c>
      <c r="E101" s="261"/>
      <c r="F101" s="304"/>
      <c r="G101">
        <v>2</v>
      </c>
      <c r="H101">
        <f>SUM(G96:G101)</f>
        <v>12</v>
      </c>
    </row>
    <row r="102" spans="2:8" ht="13.5" customHeight="1" x14ac:dyDescent="0.2">
      <c r="B102" s="20"/>
      <c r="D102" s="18"/>
      <c r="E102" s="261"/>
      <c r="F102" s="304"/>
    </row>
    <row r="103" spans="2:8" ht="25.5" customHeight="1" x14ac:dyDescent="0.2">
      <c r="B103" s="17" t="s">
        <v>75</v>
      </c>
      <c r="D103" s="18"/>
      <c r="E103" s="261"/>
      <c r="F103" s="304"/>
    </row>
    <row r="104" spans="2:8" ht="13.5" customHeight="1" x14ac:dyDescent="0.2">
      <c r="B104" s="20" t="s">
        <v>62</v>
      </c>
      <c r="C104" s="3" t="s">
        <v>48</v>
      </c>
      <c r="D104" s="18">
        <f>0.2*0.2*G104</f>
        <v>0.20000000000000004</v>
      </c>
      <c r="E104" s="261"/>
      <c r="F104" s="304"/>
      <c r="G104">
        <v>5</v>
      </c>
    </row>
    <row r="105" spans="2:8" ht="13.5" customHeight="1" x14ac:dyDescent="0.2">
      <c r="B105" s="20" t="s">
        <v>76</v>
      </c>
      <c r="C105" s="3" t="s">
        <v>48</v>
      </c>
      <c r="D105" s="18">
        <f t="shared" ref="D105:D108" si="4">0.2*0.2*G105</f>
        <v>0.20000000000000004</v>
      </c>
      <c r="E105" s="261"/>
      <c r="F105" s="304"/>
      <c r="G105">
        <v>5</v>
      </c>
    </row>
    <row r="106" spans="2:8" ht="13.5" customHeight="1" x14ac:dyDescent="0.2">
      <c r="B106" s="20" t="s">
        <v>65</v>
      </c>
      <c r="C106" s="3" t="s">
        <v>48</v>
      </c>
      <c r="D106" s="18">
        <f t="shared" si="4"/>
        <v>0.20000000000000004</v>
      </c>
      <c r="E106" s="261"/>
      <c r="F106" s="304"/>
      <c r="G106">
        <v>5</v>
      </c>
    </row>
    <row r="107" spans="2:8" ht="13.5" customHeight="1" x14ac:dyDescent="0.2">
      <c r="B107" s="20" t="s">
        <v>66</v>
      </c>
      <c r="C107" s="3" t="s">
        <v>48</v>
      </c>
      <c r="D107" s="18">
        <f t="shared" si="4"/>
        <v>0.20000000000000004</v>
      </c>
      <c r="E107" s="261"/>
      <c r="F107" s="304"/>
      <c r="G107">
        <v>5</v>
      </c>
    </row>
    <row r="108" spans="2:8" ht="13.5" customHeight="1" x14ac:dyDescent="0.2">
      <c r="B108" s="20" t="s">
        <v>67</v>
      </c>
      <c r="C108" s="3" t="s">
        <v>48</v>
      </c>
      <c r="D108" s="18">
        <f t="shared" si="4"/>
        <v>0.20000000000000004</v>
      </c>
      <c r="E108" s="261"/>
      <c r="F108" s="304"/>
      <c r="G108">
        <v>5</v>
      </c>
      <c r="H108">
        <f>SUM(G104:G108)</f>
        <v>25</v>
      </c>
    </row>
    <row r="109" spans="2:8" ht="13.5" customHeight="1" x14ac:dyDescent="0.2">
      <c r="B109" s="20"/>
      <c r="D109" s="18"/>
      <c r="E109" s="261"/>
      <c r="F109" s="304"/>
    </row>
    <row r="110" spans="2:8" ht="13.5" customHeight="1" x14ac:dyDescent="0.2">
      <c r="B110" s="17" t="s">
        <v>77</v>
      </c>
      <c r="D110" s="18"/>
      <c r="E110" s="261"/>
      <c r="F110" s="304"/>
    </row>
    <row r="111" spans="2:8" ht="13.5" customHeight="1" x14ac:dyDescent="0.2">
      <c r="B111" s="20" t="s">
        <v>69</v>
      </c>
      <c r="C111" s="3" t="s">
        <v>48</v>
      </c>
      <c r="D111" s="18">
        <f>0.2*0.2*G111</f>
        <v>0.20000000000000004</v>
      </c>
      <c r="E111" s="261"/>
      <c r="F111" s="304"/>
      <c r="G111">
        <v>5</v>
      </c>
    </row>
    <row r="112" spans="2:8" ht="13.5" customHeight="1" x14ac:dyDescent="0.2">
      <c r="B112" s="20" t="s">
        <v>70</v>
      </c>
      <c r="C112" s="3" t="s">
        <v>48</v>
      </c>
      <c r="D112" s="18">
        <f t="shared" ref="D112:D116" si="5">0.2*0.2*G112</f>
        <v>0.20000000000000004</v>
      </c>
      <c r="E112" s="261"/>
      <c r="F112" s="304"/>
      <c r="G112">
        <v>5</v>
      </c>
    </row>
    <row r="113" spans="2:8" ht="13.5" customHeight="1" x14ac:dyDescent="0.2">
      <c r="B113" s="20" t="s">
        <v>71</v>
      </c>
      <c r="C113" s="3" t="s">
        <v>48</v>
      </c>
      <c r="D113" s="18">
        <f t="shared" si="5"/>
        <v>0.20000000000000004</v>
      </c>
      <c r="E113" s="261"/>
      <c r="F113" s="304"/>
      <c r="G113">
        <v>5</v>
      </c>
    </row>
    <row r="114" spans="2:8" ht="13.5" customHeight="1" x14ac:dyDescent="0.2">
      <c r="B114" s="20" t="s">
        <v>72</v>
      </c>
      <c r="C114" s="3" t="s">
        <v>48</v>
      </c>
      <c r="D114" s="18">
        <f t="shared" si="5"/>
        <v>0.20000000000000004</v>
      </c>
      <c r="E114" s="261"/>
      <c r="F114" s="304"/>
      <c r="G114">
        <v>5</v>
      </c>
    </row>
    <row r="115" spans="2:8" ht="13.5" customHeight="1" x14ac:dyDescent="0.2">
      <c r="B115" s="20" t="s">
        <v>73</v>
      </c>
      <c r="C115" s="3" t="s">
        <v>48</v>
      </c>
      <c r="D115" s="18">
        <f t="shared" si="5"/>
        <v>0.20000000000000004</v>
      </c>
      <c r="E115" s="261"/>
      <c r="F115" s="304"/>
      <c r="G115">
        <v>5</v>
      </c>
    </row>
    <row r="116" spans="2:8" ht="13.5" customHeight="1" x14ac:dyDescent="0.2">
      <c r="B116" s="20" t="s">
        <v>74</v>
      </c>
      <c r="C116" s="3" t="s">
        <v>48</v>
      </c>
      <c r="D116" s="18">
        <f t="shared" si="5"/>
        <v>0.20000000000000004</v>
      </c>
      <c r="E116" s="261"/>
      <c r="F116" s="304"/>
      <c r="G116">
        <v>5</v>
      </c>
      <c r="H116">
        <f>SUM(G111:G116)</f>
        <v>30</v>
      </c>
    </row>
    <row r="117" spans="2:8" ht="13.5" customHeight="1" x14ac:dyDescent="0.2">
      <c r="B117" s="20"/>
      <c r="D117" s="18"/>
      <c r="E117" s="261"/>
      <c r="F117" s="304"/>
    </row>
    <row r="118" spans="2:8" ht="13.5" customHeight="1" x14ac:dyDescent="0.2">
      <c r="B118" s="17" t="s">
        <v>78</v>
      </c>
      <c r="D118" s="18"/>
      <c r="E118" s="261"/>
      <c r="F118" s="304"/>
    </row>
    <row r="119" spans="2:8" ht="13.5" customHeight="1" x14ac:dyDescent="0.2">
      <c r="B119" s="20" t="s">
        <v>62</v>
      </c>
      <c r="C119" s="3" t="s">
        <v>48</v>
      </c>
      <c r="D119" s="18">
        <f>0.2*0.2*G119</f>
        <v>0.20000000000000004</v>
      </c>
      <c r="E119" s="261"/>
      <c r="F119" s="304"/>
      <c r="G119">
        <v>5</v>
      </c>
    </row>
    <row r="120" spans="2:8" ht="13.5" customHeight="1" x14ac:dyDescent="0.2">
      <c r="B120" s="20" t="s">
        <v>76</v>
      </c>
      <c r="C120" s="3" t="s">
        <v>48</v>
      </c>
      <c r="D120" s="18">
        <f t="shared" ref="D120:D123" si="6">0.2*0.2*G120</f>
        <v>0.20000000000000004</v>
      </c>
      <c r="E120" s="261"/>
      <c r="F120" s="304"/>
      <c r="G120">
        <v>5</v>
      </c>
    </row>
    <row r="121" spans="2:8" ht="13.5" customHeight="1" x14ac:dyDescent="0.2">
      <c r="B121" s="20" t="s">
        <v>65</v>
      </c>
      <c r="C121" s="3" t="s">
        <v>48</v>
      </c>
      <c r="D121" s="18">
        <f t="shared" si="6"/>
        <v>0.20000000000000004</v>
      </c>
      <c r="E121" s="261"/>
      <c r="F121" s="304"/>
      <c r="G121">
        <v>5</v>
      </c>
    </row>
    <row r="122" spans="2:8" ht="13.5" customHeight="1" x14ac:dyDescent="0.2">
      <c r="B122" s="20" t="s">
        <v>66</v>
      </c>
      <c r="C122" s="3" t="s">
        <v>48</v>
      </c>
      <c r="D122" s="18">
        <f t="shared" si="6"/>
        <v>0.20000000000000004</v>
      </c>
      <c r="E122" s="261"/>
      <c r="F122" s="304"/>
      <c r="G122">
        <v>5</v>
      </c>
    </row>
    <row r="123" spans="2:8" ht="13.5" customHeight="1" x14ac:dyDescent="0.2">
      <c r="B123" s="20" t="s">
        <v>67</v>
      </c>
      <c r="C123" s="3" t="s">
        <v>48</v>
      </c>
      <c r="D123" s="18">
        <f t="shared" si="6"/>
        <v>0.20000000000000004</v>
      </c>
      <c r="E123" s="261"/>
      <c r="F123" s="304"/>
      <c r="G123">
        <v>5</v>
      </c>
      <c r="H123">
        <f>SUM(G119:G123)</f>
        <v>25</v>
      </c>
    </row>
    <row r="124" spans="2:8" ht="13.5" customHeight="1" x14ac:dyDescent="0.2">
      <c r="B124" s="20"/>
      <c r="D124" s="18"/>
      <c r="E124" s="261"/>
      <c r="F124" s="304"/>
    </row>
    <row r="125" spans="2:8" ht="13.5" customHeight="1" x14ac:dyDescent="0.2">
      <c r="B125" s="17" t="s">
        <v>79</v>
      </c>
      <c r="D125" s="18"/>
      <c r="E125" s="261"/>
      <c r="F125" s="304"/>
    </row>
    <row r="126" spans="2:8" ht="13.5" customHeight="1" x14ac:dyDescent="0.2">
      <c r="B126" s="20" t="s">
        <v>69</v>
      </c>
      <c r="C126" s="3" t="s">
        <v>48</v>
      </c>
      <c r="D126" s="18">
        <f>0.2*0.2*G126</f>
        <v>0.20000000000000004</v>
      </c>
      <c r="E126" s="261"/>
      <c r="F126" s="304"/>
      <c r="G126">
        <v>5</v>
      </c>
    </row>
    <row r="127" spans="2:8" ht="13.5" customHeight="1" x14ac:dyDescent="0.2">
      <c r="B127" s="20" t="s">
        <v>70</v>
      </c>
      <c r="C127" s="3" t="s">
        <v>48</v>
      </c>
      <c r="D127" s="18">
        <f t="shared" ref="D127:D130" si="7">0.2*0.2*G127</f>
        <v>0.20000000000000004</v>
      </c>
      <c r="E127" s="261"/>
      <c r="F127" s="304"/>
      <c r="G127">
        <v>5</v>
      </c>
    </row>
    <row r="128" spans="2:8" ht="13.5" customHeight="1" x14ac:dyDescent="0.2">
      <c r="B128" s="20" t="s">
        <v>71</v>
      </c>
      <c r="C128" s="3" t="s">
        <v>48</v>
      </c>
      <c r="D128" s="18">
        <f t="shared" si="7"/>
        <v>0.20000000000000004</v>
      </c>
      <c r="E128" s="261"/>
      <c r="F128" s="304"/>
      <c r="G128">
        <v>5</v>
      </c>
    </row>
    <row r="129" spans="2:8" ht="13.5" customHeight="1" x14ac:dyDescent="0.2">
      <c r="B129" s="20" t="s">
        <v>80</v>
      </c>
      <c r="C129" s="3" t="s">
        <v>48</v>
      </c>
      <c r="D129" s="18">
        <f t="shared" si="7"/>
        <v>0.20000000000000004</v>
      </c>
      <c r="E129" s="261"/>
      <c r="F129" s="304"/>
      <c r="G129">
        <v>5</v>
      </c>
    </row>
    <row r="130" spans="2:8" ht="13.5" customHeight="1" x14ac:dyDescent="0.2">
      <c r="B130" s="20" t="s">
        <v>74</v>
      </c>
      <c r="C130" s="3" t="s">
        <v>48</v>
      </c>
      <c r="D130" s="18">
        <f t="shared" si="7"/>
        <v>0.20000000000000004</v>
      </c>
      <c r="E130" s="261"/>
      <c r="F130" s="304"/>
      <c r="G130">
        <v>5</v>
      </c>
      <c r="H130">
        <f>SUM(G126:G130)</f>
        <v>25</v>
      </c>
    </row>
    <row r="131" spans="2:8" ht="13.5" customHeight="1" x14ac:dyDescent="0.2">
      <c r="B131" s="20"/>
      <c r="D131" s="18"/>
      <c r="E131" s="261"/>
      <c r="F131" s="304"/>
    </row>
    <row r="132" spans="2:8" ht="13.5" customHeight="1" x14ac:dyDescent="0.2">
      <c r="B132" s="17" t="s">
        <v>81</v>
      </c>
      <c r="D132" s="18"/>
      <c r="E132" s="261"/>
      <c r="F132" s="304"/>
    </row>
    <row r="133" spans="2:8" ht="13.5" customHeight="1" x14ac:dyDescent="0.2">
      <c r="B133" s="20" t="s">
        <v>62</v>
      </c>
      <c r="C133" s="3" t="s">
        <v>48</v>
      </c>
      <c r="D133" s="18">
        <f>0.2*0.2*G133</f>
        <v>0.20000000000000004</v>
      </c>
      <c r="E133" s="261"/>
      <c r="F133" s="304"/>
      <c r="G133">
        <v>5</v>
      </c>
    </row>
    <row r="134" spans="2:8" ht="13.5" customHeight="1" x14ac:dyDescent="0.2">
      <c r="B134" s="20" t="s">
        <v>76</v>
      </c>
      <c r="C134" s="3" t="s">
        <v>48</v>
      </c>
      <c r="D134" s="18">
        <f t="shared" ref="D134:D137" si="8">0.2*0.2*G134</f>
        <v>0.20000000000000004</v>
      </c>
      <c r="E134" s="261"/>
      <c r="F134" s="304"/>
      <c r="G134">
        <v>5</v>
      </c>
    </row>
    <row r="135" spans="2:8" ht="13.5" customHeight="1" x14ac:dyDescent="0.2">
      <c r="B135" s="20" t="s">
        <v>65</v>
      </c>
      <c r="C135" s="3" t="s">
        <v>48</v>
      </c>
      <c r="D135" s="18">
        <f t="shared" si="8"/>
        <v>0.20000000000000004</v>
      </c>
      <c r="E135" s="261"/>
      <c r="F135" s="304"/>
      <c r="G135">
        <v>5</v>
      </c>
    </row>
    <row r="136" spans="2:8" ht="13.5" customHeight="1" x14ac:dyDescent="0.2">
      <c r="B136" s="20" t="s">
        <v>66</v>
      </c>
      <c r="C136" s="3" t="s">
        <v>48</v>
      </c>
      <c r="D136" s="18">
        <f t="shared" si="8"/>
        <v>0.20000000000000004</v>
      </c>
      <c r="E136" s="261"/>
      <c r="F136" s="304"/>
      <c r="G136">
        <v>5</v>
      </c>
    </row>
    <row r="137" spans="2:8" ht="13.5" customHeight="1" x14ac:dyDescent="0.2">
      <c r="B137" s="20" t="s">
        <v>67</v>
      </c>
      <c r="C137" s="3" t="s">
        <v>48</v>
      </c>
      <c r="D137" s="18">
        <f t="shared" si="8"/>
        <v>0.20000000000000004</v>
      </c>
      <c r="E137" s="261"/>
      <c r="F137" s="304"/>
      <c r="G137">
        <v>5</v>
      </c>
      <c r="H137">
        <f>SUM(G133:G137)</f>
        <v>25</v>
      </c>
    </row>
    <row r="138" spans="2:8" ht="13.5" customHeight="1" x14ac:dyDescent="0.2">
      <c r="B138" s="20"/>
      <c r="D138" s="18"/>
      <c r="E138" s="261"/>
      <c r="F138" s="304"/>
    </row>
    <row r="139" spans="2:8" ht="13.5" customHeight="1" x14ac:dyDescent="0.2">
      <c r="B139" s="17" t="s">
        <v>82</v>
      </c>
      <c r="D139" s="18"/>
      <c r="E139" s="261"/>
      <c r="F139" s="304"/>
    </row>
    <row r="140" spans="2:8" ht="13.5" customHeight="1" x14ac:dyDescent="0.2">
      <c r="B140" s="20" t="s">
        <v>69</v>
      </c>
      <c r="C140" s="3" t="s">
        <v>48</v>
      </c>
      <c r="D140" s="18">
        <f>0.2*0.2*G140</f>
        <v>0.20000000000000004</v>
      </c>
      <c r="E140" s="261"/>
      <c r="F140" s="304"/>
      <c r="G140">
        <v>5</v>
      </c>
    </row>
    <row r="141" spans="2:8" ht="13.5" customHeight="1" x14ac:dyDescent="0.2">
      <c r="B141" s="20" t="s">
        <v>70</v>
      </c>
      <c r="C141" s="3" t="s">
        <v>48</v>
      </c>
      <c r="D141" s="18">
        <f t="shared" ref="D141:D144" si="9">0.2*0.2*G141</f>
        <v>0.20000000000000004</v>
      </c>
      <c r="E141" s="261"/>
      <c r="F141" s="304"/>
      <c r="G141">
        <v>5</v>
      </c>
    </row>
    <row r="142" spans="2:8" ht="13.5" customHeight="1" x14ac:dyDescent="0.2">
      <c r="B142" s="20" t="s">
        <v>71</v>
      </c>
      <c r="C142" s="3" t="s">
        <v>48</v>
      </c>
      <c r="D142" s="18">
        <f t="shared" si="9"/>
        <v>0.20000000000000004</v>
      </c>
      <c r="E142" s="261"/>
      <c r="F142" s="304"/>
      <c r="G142">
        <v>5</v>
      </c>
    </row>
    <row r="143" spans="2:8" ht="13.5" customHeight="1" x14ac:dyDescent="0.2">
      <c r="B143" s="20" t="s">
        <v>80</v>
      </c>
      <c r="C143" s="3" t="s">
        <v>48</v>
      </c>
      <c r="D143" s="18">
        <f t="shared" si="9"/>
        <v>0.20000000000000004</v>
      </c>
      <c r="E143" s="261"/>
      <c r="F143" s="304"/>
      <c r="G143">
        <v>5</v>
      </c>
    </row>
    <row r="144" spans="2:8" ht="13.5" customHeight="1" x14ac:dyDescent="0.2">
      <c r="B144" s="20" t="s">
        <v>74</v>
      </c>
      <c r="C144" s="3" t="s">
        <v>48</v>
      </c>
      <c r="D144" s="18">
        <f t="shared" si="9"/>
        <v>0.20000000000000004</v>
      </c>
      <c r="E144" s="261"/>
      <c r="F144" s="304"/>
      <c r="G144">
        <v>5</v>
      </c>
      <c r="H144">
        <f>SUM(G140:G144)</f>
        <v>25</v>
      </c>
    </row>
    <row r="145" spans="1:8" ht="13.5" customHeight="1" x14ac:dyDescent="0.2">
      <c r="B145" s="20"/>
      <c r="D145" s="18"/>
      <c r="E145" s="261"/>
      <c r="F145" s="304"/>
    </row>
    <row r="146" spans="1:8" ht="13.5" customHeight="1" x14ac:dyDescent="0.2">
      <c r="B146" s="17" t="s">
        <v>83</v>
      </c>
      <c r="D146" s="18"/>
      <c r="E146" s="261"/>
      <c r="F146" s="304"/>
    </row>
    <row r="147" spans="1:8" ht="13.5" customHeight="1" x14ac:dyDescent="0.2">
      <c r="B147" s="20" t="s">
        <v>62</v>
      </c>
      <c r="C147" s="3" t="s">
        <v>48</v>
      </c>
      <c r="D147" s="18">
        <f>0.2*0.2*G147</f>
        <v>0.20000000000000004</v>
      </c>
      <c r="E147" s="261"/>
      <c r="F147" s="304"/>
      <c r="G147">
        <v>5</v>
      </c>
    </row>
    <row r="148" spans="1:8" ht="13.5" customHeight="1" x14ac:dyDescent="0.2">
      <c r="B148" s="20" t="s">
        <v>76</v>
      </c>
      <c r="C148" s="3" t="s">
        <v>48</v>
      </c>
      <c r="D148" s="18">
        <f t="shared" ref="D148:D151" si="10">0.2*0.2*G148</f>
        <v>0.20000000000000004</v>
      </c>
      <c r="E148" s="261"/>
      <c r="F148" s="304"/>
      <c r="G148">
        <v>5</v>
      </c>
    </row>
    <row r="149" spans="1:8" ht="13.5" customHeight="1" x14ac:dyDescent="0.2">
      <c r="B149" s="20" t="s">
        <v>65</v>
      </c>
      <c r="C149" s="3" t="s">
        <v>48</v>
      </c>
      <c r="D149" s="18">
        <f t="shared" si="10"/>
        <v>0.20000000000000004</v>
      </c>
      <c r="E149" s="261"/>
      <c r="F149" s="304"/>
      <c r="G149">
        <v>5</v>
      </c>
    </row>
    <row r="150" spans="1:8" ht="13.5" customHeight="1" x14ac:dyDescent="0.2">
      <c r="B150" s="20" t="s">
        <v>66</v>
      </c>
      <c r="C150" s="3" t="s">
        <v>48</v>
      </c>
      <c r="D150" s="18">
        <f t="shared" si="10"/>
        <v>0.20000000000000004</v>
      </c>
      <c r="E150" s="261"/>
      <c r="F150" s="304"/>
      <c r="G150">
        <v>5</v>
      </c>
    </row>
    <row r="151" spans="1:8" ht="13.5" customHeight="1" x14ac:dyDescent="0.2">
      <c r="B151" s="20" t="s">
        <v>67</v>
      </c>
      <c r="C151" s="3" t="s">
        <v>48</v>
      </c>
      <c r="D151" s="18">
        <f t="shared" si="10"/>
        <v>0.20000000000000004</v>
      </c>
      <c r="E151" s="261"/>
      <c r="F151" s="304"/>
      <c r="G151">
        <v>5</v>
      </c>
      <c r="H151">
        <f>SUM(G136:G151)</f>
        <v>60</v>
      </c>
    </row>
    <row r="152" spans="1:8" ht="13.5" customHeight="1" x14ac:dyDescent="0.2">
      <c r="B152" s="22" t="s">
        <v>84</v>
      </c>
      <c r="C152" s="23" t="s">
        <v>85</v>
      </c>
      <c r="D152" s="24">
        <f>SUM(D89:D151)</f>
        <v>8.8800000000000026</v>
      </c>
      <c r="E152" s="261"/>
      <c r="F152" s="304">
        <f t="shared" ref="F152:F207" si="11">ROUND(D152*E152,2)</f>
        <v>0</v>
      </c>
    </row>
    <row r="153" spans="1:8" ht="13.5" customHeight="1" x14ac:dyDescent="0.2">
      <c r="B153" s="17" t="s">
        <v>86</v>
      </c>
      <c r="C153" s="3" t="s">
        <v>87</v>
      </c>
      <c r="D153" s="18">
        <f>1.3*0.05*D152</f>
        <v>0.57720000000000016</v>
      </c>
      <c r="E153" s="261"/>
      <c r="F153" s="304">
        <f t="shared" si="11"/>
        <v>0</v>
      </c>
    </row>
    <row r="154" spans="1:8" ht="13.5" customHeight="1" x14ac:dyDescent="0.2">
      <c r="B154" s="16"/>
      <c r="E154" s="259"/>
      <c r="F154" s="304"/>
    </row>
    <row r="155" spans="1:8" ht="132.75" customHeight="1" x14ac:dyDescent="0.2">
      <c r="A155" s="1" t="s">
        <v>88</v>
      </c>
      <c r="B155" s="20" t="s">
        <v>89</v>
      </c>
      <c r="D155" s="18"/>
      <c r="E155" s="261"/>
      <c r="F155" s="304"/>
    </row>
    <row r="156" spans="1:8" ht="24" customHeight="1" x14ac:dyDescent="0.2">
      <c r="B156" s="17" t="s">
        <v>61</v>
      </c>
      <c r="D156" s="18"/>
      <c r="E156" s="261"/>
      <c r="F156" s="304"/>
    </row>
    <row r="157" spans="1:8" ht="13.5" customHeight="1" x14ac:dyDescent="0.2">
      <c r="B157" s="20" t="s">
        <v>62</v>
      </c>
      <c r="C157" s="3" t="s">
        <v>90</v>
      </c>
      <c r="D157" s="18">
        <f t="shared" ref="D157:D162" si="12">G89</f>
        <v>5</v>
      </c>
      <c r="E157" s="261"/>
      <c r="F157" s="304">
        <f t="shared" si="11"/>
        <v>0</v>
      </c>
    </row>
    <row r="158" spans="1:8" ht="13.5" customHeight="1" x14ac:dyDescent="0.2">
      <c r="B158" s="20" t="s">
        <v>63</v>
      </c>
      <c r="C158" s="3" t="s">
        <v>90</v>
      </c>
      <c r="D158" s="18">
        <f t="shared" si="12"/>
        <v>5</v>
      </c>
      <c r="E158" s="261"/>
      <c r="F158" s="304">
        <f t="shared" si="11"/>
        <v>0</v>
      </c>
    </row>
    <row r="159" spans="1:8" ht="13.5" customHeight="1" x14ac:dyDescent="0.2">
      <c r="B159" s="20" t="s">
        <v>64</v>
      </c>
      <c r="C159" s="3" t="s">
        <v>90</v>
      </c>
      <c r="D159" s="18">
        <f t="shared" si="12"/>
        <v>5</v>
      </c>
      <c r="E159" s="261"/>
      <c r="F159" s="304">
        <f t="shared" si="11"/>
        <v>0</v>
      </c>
    </row>
    <row r="160" spans="1:8" ht="13.5" customHeight="1" x14ac:dyDescent="0.2">
      <c r="B160" s="20" t="s">
        <v>65</v>
      </c>
      <c r="C160" s="3" t="s">
        <v>90</v>
      </c>
      <c r="D160" s="18">
        <f t="shared" si="12"/>
        <v>5</v>
      </c>
      <c r="E160" s="261"/>
      <c r="F160" s="304">
        <f t="shared" si="11"/>
        <v>0</v>
      </c>
    </row>
    <row r="161" spans="2:6" ht="13.5" customHeight="1" x14ac:dyDescent="0.2">
      <c r="B161" s="20" t="s">
        <v>66</v>
      </c>
      <c r="C161" s="3" t="s">
        <v>90</v>
      </c>
      <c r="D161" s="18">
        <f t="shared" si="12"/>
        <v>5</v>
      </c>
      <c r="E161" s="261"/>
      <c r="F161" s="304">
        <f t="shared" si="11"/>
        <v>0</v>
      </c>
    </row>
    <row r="162" spans="2:6" ht="13.5" customHeight="1" x14ac:dyDescent="0.2">
      <c r="B162" s="20" t="s">
        <v>67</v>
      </c>
      <c r="C162" s="3" t="s">
        <v>90</v>
      </c>
      <c r="D162" s="18">
        <f t="shared" si="12"/>
        <v>5</v>
      </c>
      <c r="E162" s="261"/>
      <c r="F162" s="304">
        <f t="shared" si="11"/>
        <v>0</v>
      </c>
    </row>
    <row r="163" spans="2:6" ht="13.5" customHeight="1" x14ac:dyDescent="0.2">
      <c r="B163" s="20"/>
      <c r="D163" s="18"/>
      <c r="E163" s="261"/>
      <c r="F163" s="304"/>
    </row>
    <row r="164" spans="2:6" ht="13.5" customHeight="1" x14ac:dyDescent="0.2">
      <c r="B164" s="17" t="s">
        <v>68</v>
      </c>
      <c r="D164" s="18"/>
      <c r="E164" s="261"/>
      <c r="F164" s="304"/>
    </row>
    <row r="165" spans="2:6" ht="13.5" customHeight="1" x14ac:dyDescent="0.2">
      <c r="B165" s="20" t="s">
        <v>69</v>
      </c>
      <c r="C165" s="3" t="s">
        <v>90</v>
      </c>
      <c r="D165" s="18">
        <f t="shared" ref="D165:D170" si="13">G96</f>
        <v>2</v>
      </c>
      <c r="E165" s="261"/>
      <c r="F165" s="304">
        <f t="shared" si="11"/>
        <v>0</v>
      </c>
    </row>
    <row r="166" spans="2:6" ht="13.5" customHeight="1" x14ac:dyDescent="0.2">
      <c r="B166" s="20" t="s">
        <v>70</v>
      </c>
      <c r="C166" s="3" t="s">
        <v>90</v>
      </c>
      <c r="D166" s="18">
        <f t="shared" si="13"/>
        <v>2</v>
      </c>
      <c r="E166" s="261"/>
      <c r="F166" s="304">
        <f t="shared" si="11"/>
        <v>0</v>
      </c>
    </row>
    <row r="167" spans="2:6" ht="13.5" customHeight="1" x14ac:dyDescent="0.2">
      <c r="B167" s="20" t="s">
        <v>71</v>
      </c>
      <c r="C167" s="3" t="s">
        <v>90</v>
      </c>
      <c r="D167" s="18">
        <f t="shared" si="13"/>
        <v>2</v>
      </c>
      <c r="E167" s="261"/>
      <c r="F167" s="304">
        <f t="shared" si="11"/>
        <v>0</v>
      </c>
    </row>
    <row r="168" spans="2:6" ht="13.5" customHeight="1" x14ac:dyDescent="0.2">
      <c r="B168" s="20" t="s">
        <v>72</v>
      </c>
      <c r="C168" s="3" t="s">
        <v>90</v>
      </c>
      <c r="D168" s="18">
        <f t="shared" si="13"/>
        <v>2</v>
      </c>
      <c r="E168" s="261"/>
      <c r="F168" s="304">
        <f t="shared" si="11"/>
        <v>0</v>
      </c>
    </row>
    <row r="169" spans="2:6" ht="13.5" customHeight="1" x14ac:dyDescent="0.2">
      <c r="B169" s="20" t="s">
        <v>73</v>
      </c>
      <c r="C169" s="3" t="s">
        <v>90</v>
      </c>
      <c r="D169" s="18">
        <f t="shared" si="13"/>
        <v>2</v>
      </c>
      <c r="E169" s="261"/>
      <c r="F169" s="304">
        <f t="shared" si="11"/>
        <v>0</v>
      </c>
    </row>
    <row r="170" spans="2:6" ht="13.5" customHeight="1" x14ac:dyDescent="0.2">
      <c r="B170" s="20" t="s">
        <v>74</v>
      </c>
      <c r="C170" s="3" t="s">
        <v>90</v>
      </c>
      <c r="D170" s="18">
        <f t="shared" si="13"/>
        <v>2</v>
      </c>
      <c r="E170" s="261"/>
      <c r="F170" s="304">
        <f t="shared" si="11"/>
        <v>0</v>
      </c>
    </row>
    <row r="171" spans="2:6" ht="13.5" customHeight="1" x14ac:dyDescent="0.2">
      <c r="B171" s="20"/>
      <c r="D171" s="18"/>
      <c r="E171" s="261"/>
      <c r="F171" s="304"/>
    </row>
    <row r="172" spans="2:6" ht="27" customHeight="1" x14ac:dyDescent="0.2">
      <c r="B172" s="17" t="s">
        <v>75</v>
      </c>
      <c r="D172" s="18"/>
      <c r="E172" s="261"/>
      <c r="F172" s="304"/>
    </row>
    <row r="173" spans="2:6" ht="13.5" customHeight="1" x14ac:dyDescent="0.2">
      <c r="B173" s="20" t="s">
        <v>62</v>
      </c>
      <c r="C173" s="3" t="s">
        <v>90</v>
      </c>
      <c r="D173" s="18">
        <f>G104</f>
        <v>5</v>
      </c>
      <c r="E173" s="261"/>
      <c r="F173" s="304">
        <f t="shared" si="11"/>
        <v>0</v>
      </c>
    </row>
    <row r="174" spans="2:6" ht="13.5" customHeight="1" x14ac:dyDescent="0.2">
      <c r="B174" s="20" t="s">
        <v>76</v>
      </c>
      <c r="C174" s="3" t="s">
        <v>90</v>
      </c>
      <c r="D174" s="18">
        <f>G105</f>
        <v>5</v>
      </c>
      <c r="E174" s="261"/>
      <c r="F174" s="304">
        <f t="shared" si="11"/>
        <v>0</v>
      </c>
    </row>
    <row r="175" spans="2:6" ht="13.5" customHeight="1" x14ac:dyDescent="0.2">
      <c r="B175" s="20" t="s">
        <v>65</v>
      </c>
      <c r="C175" s="3" t="s">
        <v>90</v>
      </c>
      <c r="D175" s="18">
        <f>G106</f>
        <v>5</v>
      </c>
      <c r="E175" s="261"/>
      <c r="F175" s="304">
        <f t="shared" si="11"/>
        <v>0</v>
      </c>
    </row>
    <row r="176" spans="2:6" ht="13.5" customHeight="1" x14ac:dyDescent="0.2">
      <c r="B176" s="20" t="s">
        <v>66</v>
      </c>
      <c r="C176" s="3" t="s">
        <v>90</v>
      </c>
      <c r="D176" s="18">
        <f>G107</f>
        <v>5</v>
      </c>
      <c r="E176" s="261"/>
      <c r="F176" s="304">
        <f t="shared" si="11"/>
        <v>0</v>
      </c>
    </row>
    <row r="177" spans="2:6" ht="13.5" customHeight="1" x14ac:dyDescent="0.2">
      <c r="B177" s="20" t="s">
        <v>67</v>
      </c>
      <c r="C177" s="3" t="s">
        <v>90</v>
      </c>
      <c r="D177" s="18">
        <f>G108</f>
        <v>5</v>
      </c>
      <c r="E177" s="261"/>
      <c r="F177" s="304">
        <f t="shared" si="11"/>
        <v>0</v>
      </c>
    </row>
    <row r="178" spans="2:6" ht="13.5" customHeight="1" x14ac:dyDescent="0.2">
      <c r="B178" s="20"/>
      <c r="D178" s="18"/>
      <c r="E178" s="261"/>
      <c r="F178" s="304"/>
    </row>
    <row r="179" spans="2:6" ht="13.5" customHeight="1" x14ac:dyDescent="0.2">
      <c r="B179" s="17" t="s">
        <v>77</v>
      </c>
      <c r="D179" s="18"/>
      <c r="E179" s="261"/>
      <c r="F179" s="304"/>
    </row>
    <row r="180" spans="2:6" ht="13.5" customHeight="1" x14ac:dyDescent="0.2">
      <c r="B180" s="20" t="s">
        <v>69</v>
      </c>
      <c r="C180" s="3" t="s">
        <v>90</v>
      </c>
      <c r="D180" s="18">
        <f t="shared" ref="D180:D185" si="14">G111</f>
        <v>5</v>
      </c>
      <c r="E180" s="261"/>
      <c r="F180" s="304">
        <f t="shared" si="11"/>
        <v>0</v>
      </c>
    </row>
    <row r="181" spans="2:6" ht="13.5" customHeight="1" x14ac:dyDescent="0.2">
      <c r="B181" s="20" t="s">
        <v>70</v>
      </c>
      <c r="C181" s="3" t="s">
        <v>90</v>
      </c>
      <c r="D181" s="18">
        <f t="shared" si="14"/>
        <v>5</v>
      </c>
      <c r="E181" s="261"/>
      <c r="F181" s="304">
        <f t="shared" si="11"/>
        <v>0</v>
      </c>
    </row>
    <row r="182" spans="2:6" ht="13.5" customHeight="1" x14ac:dyDescent="0.2">
      <c r="B182" s="20" t="s">
        <v>71</v>
      </c>
      <c r="C182" s="3" t="s">
        <v>90</v>
      </c>
      <c r="D182" s="18">
        <f t="shared" si="14"/>
        <v>5</v>
      </c>
      <c r="E182" s="261"/>
      <c r="F182" s="304">
        <f t="shared" si="11"/>
        <v>0</v>
      </c>
    </row>
    <row r="183" spans="2:6" ht="13.5" customHeight="1" x14ac:dyDescent="0.2">
      <c r="B183" s="20" t="s">
        <v>72</v>
      </c>
      <c r="C183" s="3" t="s">
        <v>90</v>
      </c>
      <c r="D183" s="18">
        <f t="shared" si="14"/>
        <v>5</v>
      </c>
      <c r="E183" s="261"/>
      <c r="F183" s="304">
        <f t="shared" si="11"/>
        <v>0</v>
      </c>
    </row>
    <row r="184" spans="2:6" ht="13.5" customHeight="1" x14ac:dyDescent="0.2">
      <c r="B184" s="20" t="s">
        <v>73</v>
      </c>
      <c r="C184" s="3" t="s">
        <v>90</v>
      </c>
      <c r="D184" s="18">
        <f t="shared" si="14"/>
        <v>5</v>
      </c>
      <c r="E184" s="261"/>
      <c r="F184" s="304">
        <f t="shared" si="11"/>
        <v>0</v>
      </c>
    </row>
    <row r="185" spans="2:6" ht="13.5" customHeight="1" x14ac:dyDescent="0.2">
      <c r="B185" s="20" t="s">
        <v>74</v>
      </c>
      <c r="C185" s="3" t="s">
        <v>90</v>
      </c>
      <c r="D185" s="18">
        <f t="shared" si="14"/>
        <v>5</v>
      </c>
      <c r="E185" s="261"/>
      <c r="F185" s="304">
        <f t="shared" si="11"/>
        <v>0</v>
      </c>
    </row>
    <row r="186" spans="2:6" ht="13.5" customHeight="1" x14ac:dyDescent="0.2">
      <c r="B186" s="20"/>
      <c r="D186" s="18"/>
      <c r="E186" s="261"/>
      <c r="F186" s="304"/>
    </row>
    <row r="187" spans="2:6" ht="13.5" customHeight="1" x14ac:dyDescent="0.2">
      <c r="B187" s="17" t="s">
        <v>78</v>
      </c>
      <c r="D187" s="18"/>
      <c r="E187" s="261"/>
      <c r="F187" s="304"/>
    </row>
    <row r="188" spans="2:6" ht="13.5" customHeight="1" x14ac:dyDescent="0.2">
      <c r="B188" s="20" t="s">
        <v>62</v>
      </c>
      <c r="C188" s="3" t="s">
        <v>90</v>
      </c>
      <c r="D188" s="18">
        <f>G119</f>
        <v>5</v>
      </c>
      <c r="E188" s="261"/>
      <c r="F188" s="304">
        <f t="shared" si="11"/>
        <v>0</v>
      </c>
    </row>
    <row r="189" spans="2:6" ht="13.5" customHeight="1" x14ac:dyDescent="0.2">
      <c r="B189" s="20" t="s">
        <v>76</v>
      </c>
      <c r="C189" s="3" t="s">
        <v>90</v>
      </c>
      <c r="D189" s="18">
        <f>G120</f>
        <v>5</v>
      </c>
      <c r="E189" s="261"/>
      <c r="F189" s="304">
        <f t="shared" si="11"/>
        <v>0</v>
      </c>
    </row>
    <row r="190" spans="2:6" ht="13.5" customHeight="1" x14ac:dyDescent="0.2">
      <c r="B190" s="20" t="s">
        <v>65</v>
      </c>
      <c r="C190" s="3" t="s">
        <v>90</v>
      </c>
      <c r="D190" s="18">
        <f>G121</f>
        <v>5</v>
      </c>
      <c r="E190" s="261"/>
      <c r="F190" s="304">
        <f t="shared" si="11"/>
        <v>0</v>
      </c>
    </row>
    <row r="191" spans="2:6" ht="13.5" customHeight="1" x14ac:dyDescent="0.2">
      <c r="B191" s="20" t="s">
        <v>66</v>
      </c>
      <c r="C191" s="3" t="s">
        <v>90</v>
      </c>
      <c r="D191" s="18">
        <f>G122</f>
        <v>5</v>
      </c>
      <c r="E191" s="261"/>
      <c r="F191" s="304">
        <f t="shared" si="11"/>
        <v>0</v>
      </c>
    </row>
    <row r="192" spans="2:6" ht="13.5" customHeight="1" x14ac:dyDescent="0.2">
      <c r="B192" s="20" t="s">
        <v>67</v>
      </c>
      <c r="C192" s="3" t="s">
        <v>90</v>
      </c>
      <c r="D192" s="18">
        <f>G123</f>
        <v>5</v>
      </c>
      <c r="E192" s="261"/>
      <c r="F192" s="304">
        <f t="shared" si="11"/>
        <v>0</v>
      </c>
    </row>
    <row r="193" spans="2:6" ht="13.5" customHeight="1" x14ac:dyDescent="0.2">
      <c r="B193" s="20"/>
      <c r="D193" s="18"/>
      <c r="E193" s="261"/>
      <c r="F193" s="304"/>
    </row>
    <row r="194" spans="2:6" ht="13.5" customHeight="1" x14ac:dyDescent="0.2">
      <c r="B194" s="20"/>
      <c r="D194" s="18"/>
      <c r="E194" s="261"/>
      <c r="F194" s="304"/>
    </row>
    <row r="195" spans="2:6" ht="13.5" customHeight="1" x14ac:dyDescent="0.2">
      <c r="B195" s="17" t="s">
        <v>79</v>
      </c>
      <c r="D195" s="18"/>
      <c r="E195" s="261"/>
      <c r="F195" s="304"/>
    </row>
    <row r="196" spans="2:6" ht="13.5" customHeight="1" x14ac:dyDescent="0.2">
      <c r="B196" s="20" t="s">
        <v>69</v>
      </c>
      <c r="C196" s="3" t="s">
        <v>90</v>
      </c>
      <c r="D196" s="18">
        <f>G126</f>
        <v>5</v>
      </c>
      <c r="E196" s="261"/>
      <c r="F196" s="304">
        <f t="shared" si="11"/>
        <v>0</v>
      </c>
    </row>
    <row r="197" spans="2:6" ht="13.5" customHeight="1" x14ac:dyDescent="0.2">
      <c r="B197" s="20" t="s">
        <v>70</v>
      </c>
      <c r="C197" s="3" t="s">
        <v>90</v>
      </c>
      <c r="D197" s="18">
        <f>G127</f>
        <v>5</v>
      </c>
      <c r="E197" s="261"/>
      <c r="F197" s="304">
        <f t="shared" si="11"/>
        <v>0</v>
      </c>
    </row>
    <row r="198" spans="2:6" ht="13.5" customHeight="1" x14ac:dyDescent="0.2">
      <c r="B198" s="20" t="s">
        <v>71</v>
      </c>
      <c r="C198" s="3" t="s">
        <v>90</v>
      </c>
      <c r="D198" s="18">
        <f>G128</f>
        <v>5</v>
      </c>
      <c r="E198" s="261"/>
      <c r="F198" s="304">
        <f t="shared" si="11"/>
        <v>0</v>
      </c>
    </row>
    <row r="199" spans="2:6" ht="13.5" customHeight="1" x14ac:dyDescent="0.2">
      <c r="B199" s="20" t="s">
        <v>80</v>
      </c>
      <c r="C199" s="3" t="s">
        <v>90</v>
      </c>
      <c r="D199" s="18">
        <f>G129</f>
        <v>5</v>
      </c>
      <c r="E199" s="261"/>
      <c r="F199" s="304">
        <f t="shared" si="11"/>
        <v>0</v>
      </c>
    </row>
    <row r="200" spans="2:6" ht="13.5" customHeight="1" x14ac:dyDescent="0.2">
      <c r="B200" s="20" t="s">
        <v>74</v>
      </c>
      <c r="C200" s="3" t="s">
        <v>90</v>
      </c>
      <c r="D200" s="18">
        <f>G130</f>
        <v>5</v>
      </c>
      <c r="E200" s="261"/>
      <c r="F200" s="304">
        <f t="shared" si="11"/>
        <v>0</v>
      </c>
    </row>
    <row r="201" spans="2:6" ht="13.5" customHeight="1" x14ac:dyDescent="0.2">
      <c r="B201" s="20"/>
      <c r="D201" s="18"/>
      <c r="E201" s="261"/>
      <c r="F201" s="304"/>
    </row>
    <row r="202" spans="2:6" ht="13.5" customHeight="1" x14ac:dyDescent="0.2">
      <c r="B202" s="17" t="s">
        <v>81</v>
      </c>
      <c r="D202" s="18"/>
      <c r="E202" s="261"/>
      <c r="F202" s="304"/>
    </row>
    <row r="203" spans="2:6" ht="13.5" customHeight="1" x14ac:dyDescent="0.2">
      <c r="B203" s="20" t="s">
        <v>62</v>
      </c>
      <c r="C203" s="3" t="s">
        <v>90</v>
      </c>
      <c r="D203" s="18">
        <f>G133</f>
        <v>5</v>
      </c>
      <c r="E203" s="261"/>
      <c r="F203" s="304">
        <f t="shared" si="11"/>
        <v>0</v>
      </c>
    </row>
    <row r="204" spans="2:6" ht="13.5" customHeight="1" x14ac:dyDescent="0.2">
      <c r="B204" s="20" t="s">
        <v>76</v>
      </c>
      <c r="C204" s="3" t="s">
        <v>90</v>
      </c>
      <c r="D204" s="18">
        <f>G134</f>
        <v>5</v>
      </c>
      <c r="E204" s="261"/>
      <c r="F204" s="304">
        <f t="shared" si="11"/>
        <v>0</v>
      </c>
    </row>
    <row r="205" spans="2:6" ht="13.5" customHeight="1" x14ac:dyDescent="0.2">
      <c r="B205" s="20" t="s">
        <v>65</v>
      </c>
      <c r="C205" s="3" t="s">
        <v>90</v>
      </c>
      <c r="D205" s="18">
        <f>G135</f>
        <v>5</v>
      </c>
      <c r="E205" s="261"/>
      <c r="F205" s="304">
        <f t="shared" si="11"/>
        <v>0</v>
      </c>
    </row>
    <row r="206" spans="2:6" ht="13.5" customHeight="1" x14ac:dyDescent="0.2">
      <c r="B206" s="20" t="s">
        <v>66</v>
      </c>
      <c r="C206" s="3" t="s">
        <v>90</v>
      </c>
      <c r="D206" s="18">
        <f>G136</f>
        <v>5</v>
      </c>
      <c r="E206" s="261"/>
      <c r="F206" s="304">
        <f t="shared" si="11"/>
        <v>0</v>
      </c>
    </row>
    <row r="207" spans="2:6" ht="13.5" customHeight="1" x14ac:dyDescent="0.2">
      <c r="B207" s="20" t="s">
        <v>67</v>
      </c>
      <c r="C207" s="3" t="s">
        <v>90</v>
      </c>
      <c r="D207" s="18">
        <f>G137</f>
        <v>5</v>
      </c>
      <c r="E207" s="261"/>
      <c r="F207" s="304">
        <f t="shared" si="11"/>
        <v>0</v>
      </c>
    </row>
    <row r="208" spans="2:6" ht="13.5" customHeight="1" x14ac:dyDescent="0.2">
      <c r="B208" s="20"/>
      <c r="D208" s="18"/>
      <c r="E208" s="261"/>
      <c r="F208" s="304"/>
    </row>
    <row r="209" spans="1:6" ht="13.5" customHeight="1" x14ac:dyDescent="0.2">
      <c r="B209" s="17" t="s">
        <v>82</v>
      </c>
      <c r="D209" s="18"/>
      <c r="E209" s="261"/>
      <c r="F209" s="304"/>
    </row>
    <row r="210" spans="1:6" ht="13.5" customHeight="1" x14ac:dyDescent="0.2">
      <c r="B210" s="20" t="s">
        <v>69</v>
      </c>
      <c r="C210" s="3" t="s">
        <v>90</v>
      </c>
      <c r="D210" s="18">
        <f>G140</f>
        <v>5</v>
      </c>
      <c r="E210" s="261"/>
      <c r="F210" s="304">
        <f t="shared" ref="F210:F272" si="15">ROUND(D210*E210,2)</f>
        <v>0</v>
      </c>
    </row>
    <row r="211" spans="1:6" ht="13.5" customHeight="1" x14ac:dyDescent="0.2">
      <c r="B211" s="20" t="s">
        <v>70</v>
      </c>
      <c r="C211" s="3" t="s">
        <v>90</v>
      </c>
      <c r="D211" s="18">
        <f>G141</f>
        <v>5</v>
      </c>
      <c r="E211" s="261"/>
      <c r="F211" s="304">
        <f t="shared" si="15"/>
        <v>0</v>
      </c>
    </row>
    <row r="212" spans="1:6" ht="13.5" customHeight="1" x14ac:dyDescent="0.2">
      <c r="B212" s="20" t="s">
        <v>71</v>
      </c>
      <c r="C212" s="3" t="s">
        <v>90</v>
      </c>
      <c r="D212" s="18">
        <f>G142</f>
        <v>5</v>
      </c>
      <c r="E212" s="261"/>
      <c r="F212" s="304">
        <f t="shared" si="15"/>
        <v>0</v>
      </c>
    </row>
    <row r="213" spans="1:6" ht="13.5" customHeight="1" x14ac:dyDescent="0.2">
      <c r="B213" s="20" t="s">
        <v>80</v>
      </c>
      <c r="C213" s="3" t="s">
        <v>90</v>
      </c>
      <c r="D213" s="18">
        <f>G143</f>
        <v>5</v>
      </c>
      <c r="E213" s="261"/>
      <c r="F213" s="304">
        <f t="shared" si="15"/>
        <v>0</v>
      </c>
    </row>
    <row r="214" spans="1:6" ht="13.5" customHeight="1" x14ac:dyDescent="0.2">
      <c r="B214" s="20" t="s">
        <v>74</v>
      </c>
      <c r="C214" s="3" t="s">
        <v>90</v>
      </c>
      <c r="D214" s="18">
        <f>G144</f>
        <v>5</v>
      </c>
      <c r="E214" s="261"/>
      <c r="F214" s="304">
        <f t="shared" si="15"/>
        <v>0</v>
      </c>
    </row>
    <row r="215" spans="1:6" ht="13.5" customHeight="1" x14ac:dyDescent="0.2">
      <c r="B215" s="20"/>
      <c r="D215" s="18"/>
      <c r="E215" s="261"/>
      <c r="F215" s="304"/>
    </row>
    <row r="216" spans="1:6" ht="13.5" customHeight="1" x14ac:dyDescent="0.2">
      <c r="B216" s="17" t="s">
        <v>83</v>
      </c>
      <c r="D216" s="18"/>
      <c r="E216" s="261"/>
      <c r="F216" s="304"/>
    </row>
    <row r="217" spans="1:6" ht="13.5" customHeight="1" x14ac:dyDescent="0.2">
      <c r="B217" s="20" t="s">
        <v>62</v>
      </c>
      <c r="C217" s="3" t="s">
        <v>90</v>
      </c>
      <c r="D217" s="18">
        <f>G147</f>
        <v>5</v>
      </c>
      <c r="E217" s="261"/>
      <c r="F217" s="304">
        <f t="shared" si="15"/>
        <v>0</v>
      </c>
    </row>
    <row r="218" spans="1:6" ht="13.5" customHeight="1" x14ac:dyDescent="0.2">
      <c r="B218" s="20" t="s">
        <v>76</v>
      </c>
      <c r="C218" s="3" t="s">
        <v>90</v>
      </c>
      <c r="D218" s="18">
        <f>G148</f>
        <v>5</v>
      </c>
      <c r="E218" s="261"/>
      <c r="F218" s="304">
        <f t="shared" si="15"/>
        <v>0</v>
      </c>
    </row>
    <row r="219" spans="1:6" ht="13.5" customHeight="1" x14ac:dyDescent="0.2">
      <c r="B219" s="20" t="s">
        <v>65</v>
      </c>
      <c r="C219" s="3" t="s">
        <v>90</v>
      </c>
      <c r="D219" s="18">
        <f>G149</f>
        <v>5</v>
      </c>
      <c r="E219" s="261"/>
      <c r="F219" s="304">
        <f t="shared" si="15"/>
        <v>0</v>
      </c>
    </row>
    <row r="220" spans="1:6" ht="13.5" customHeight="1" x14ac:dyDescent="0.2">
      <c r="B220" s="20" t="s">
        <v>66</v>
      </c>
      <c r="C220" s="3" t="s">
        <v>90</v>
      </c>
      <c r="D220" s="18">
        <f>G150</f>
        <v>5</v>
      </c>
      <c r="E220" s="261"/>
      <c r="F220" s="304">
        <f t="shared" si="15"/>
        <v>0</v>
      </c>
    </row>
    <row r="221" spans="1:6" ht="13.5" customHeight="1" x14ac:dyDescent="0.2">
      <c r="B221" s="20" t="s">
        <v>67</v>
      </c>
      <c r="C221" s="3" t="s">
        <v>90</v>
      </c>
      <c r="D221" s="18">
        <f>G151</f>
        <v>5</v>
      </c>
      <c r="E221" s="261"/>
      <c r="F221" s="304">
        <f t="shared" si="15"/>
        <v>0</v>
      </c>
    </row>
    <row r="222" spans="1:6" ht="13.5" customHeight="1" x14ac:dyDescent="0.2">
      <c r="B222" s="25"/>
      <c r="D222" s="18"/>
      <c r="E222" s="261"/>
      <c r="F222" s="304"/>
    </row>
    <row r="223" spans="1:6" ht="72.75" customHeight="1" x14ac:dyDescent="0.2">
      <c r="A223" s="1" t="s">
        <v>91</v>
      </c>
      <c r="B223" s="20" t="s">
        <v>92</v>
      </c>
      <c r="D223" s="18"/>
      <c r="E223" s="261"/>
      <c r="F223" s="304"/>
    </row>
    <row r="224" spans="1:6" ht="28.5" customHeight="1" x14ac:dyDescent="0.2">
      <c r="B224" s="17" t="s">
        <v>61</v>
      </c>
      <c r="E224" s="259"/>
      <c r="F224" s="304"/>
    </row>
    <row r="225" spans="2:6" ht="13.5" customHeight="1" x14ac:dyDescent="0.2">
      <c r="B225" s="20" t="s">
        <v>62</v>
      </c>
      <c r="C225" s="3" t="s">
        <v>90</v>
      </c>
      <c r="D225" s="18">
        <f t="shared" ref="D225:D230" si="16">D157</f>
        <v>5</v>
      </c>
      <c r="E225" s="261"/>
      <c r="F225" s="304">
        <f t="shared" si="15"/>
        <v>0</v>
      </c>
    </row>
    <row r="226" spans="2:6" ht="13.5" customHeight="1" x14ac:dyDescent="0.2">
      <c r="B226" s="20" t="s">
        <v>63</v>
      </c>
      <c r="C226" s="3" t="s">
        <v>90</v>
      </c>
      <c r="D226" s="18">
        <f t="shared" si="16"/>
        <v>5</v>
      </c>
      <c r="E226" s="261"/>
      <c r="F226" s="304">
        <f t="shared" si="15"/>
        <v>0</v>
      </c>
    </row>
    <row r="227" spans="2:6" ht="13.5" customHeight="1" x14ac:dyDescent="0.2">
      <c r="B227" s="20" t="s">
        <v>64</v>
      </c>
      <c r="C227" s="3" t="s">
        <v>90</v>
      </c>
      <c r="D227" s="18">
        <f t="shared" si="16"/>
        <v>5</v>
      </c>
      <c r="E227" s="261"/>
      <c r="F227" s="304">
        <f t="shared" si="15"/>
        <v>0</v>
      </c>
    </row>
    <row r="228" spans="2:6" ht="13.5" customHeight="1" x14ac:dyDescent="0.2">
      <c r="B228" s="20" t="s">
        <v>65</v>
      </c>
      <c r="C228" s="3" t="s">
        <v>90</v>
      </c>
      <c r="D228" s="18">
        <f t="shared" si="16"/>
        <v>5</v>
      </c>
      <c r="E228" s="261"/>
      <c r="F228" s="304">
        <f t="shared" si="15"/>
        <v>0</v>
      </c>
    </row>
    <row r="229" spans="2:6" ht="13.5" customHeight="1" x14ac:dyDescent="0.2">
      <c r="B229" s="20" t="s">
        <v>66</v>
      </c>
      <c r="C229" s="3" t="s">
        <v>90</v>
      </c>
      <c r="D229" s="18">
        <f t="shared" si="16"/>
        <v>5</v>
      </c>
      <c r="E229" s="261"/>
      <c r="F229" s="304">
        <f t="shared" si="15"/>
        <v>0</v>
      </c>
    </row>
    <row r="230" spans="2:6" ht="13.5" customHeight="1" x14ac:dyDescent="0.2">
      <c r="B230" s="20" t="s">
        <v>67</v>
      </c>
      <c r="C230" s="3" t="s">
        <v>90</v>
      </c>
      <c r="D230" s="18">
        <f t="shared" si="16"/>
        <v>5</v>
      </c>
      <c r="E230" s="261"/>
      <c r="F230" s="304">
        <f t="shared" si="15"/>
        <v>0</v>
      </c>
    </row>
    <row r="231" spans="2:6" ht="13.5" customHeight="1" x14ac:dyDescent="0.2">
      <c r="B231" s="20"/>
      <c r="E231" s="259"/>
      <c r="F231" s="304"/>
    </row>
    <row r="232" spans="2:6" ht="13.5" customHeight="1" x14ac:dyDescent="0.2">
      <c r="B232" s="17" t="s">
        <v>68</v>
      </c>
      <c r="D232" s="18"/>
      <c r="E232" s="261"/>
      <c r="F232" s="304"/>
    </row>
    <row r="233" spans="2:6" ht="13.5" customHeight="1" x14ac:dyDescent="0.2">
      <c r="B233" s="20" t="s">
        <v>69</v>
      </c>
      <c r="C233" s="3" t="s">
        <v>90</v>
      </c>
      <c r="D233" s="18">
        <f t="shared" ref="D233:D238" si="17">D165</f>
        <v>2</v>
      </c>
      <c r="E233" s="261"/>
      <c r="F233" s="304">
        <f t="shared" si="15"/>
        <v>0</v>
      </c>
    </row>
    <row r="234" spans="2:6" ht="13.5" customHeight="1" x14ac:dyDescent="0.2">
      <c r="B234" s="20" t="s">
        <v>70</v>
      </c>
      <c r="C234" s="3" t="s">
        <v>90</v>
      </c>
      <c r="D234" s="18">
        <f t="shared" si="17"/>
        <v>2</v>
      </c>
      <c r="E234" s="261"/>
      <c r="F234" s="304">
        <f t="shared" si="15"/>
        <v>0</v>
      </c>
    </row>
    <row r="235" spans="2:6" ht="13.5" customHeight="1" x14ac:dyDescent="0.2">
      <c r="B235" s="20" t="s">
        <v>71</v>
      </c>
      <c r="C235" s="3" t="s">
        <v>90</v>
      </c>
      <c r="D235" s="18">
        <f t="shared" si="17"/>
        <v>2</v>
      </c>
      <c r="E235" s="261"/>
      <c r="F235" s="304">
        <f t="shared" si="15"/>
        <v>0</v>
      </c>
    </row>
    <row r="236" spans="2:6" ht="13.5" customHeight="1" x14ac:dyDescent="0.2">
      <c r="B236" s="20" t="s">
        <v>72</v>
      </c>
      <c r="C236" s="3" t="s">
        <v>90</v>
      </c>
      <c r="D236" s="18">
        <f t="shared" si="17"/>
        <v>2</v>
      </c>
      <c r="E236" s="261"/>
      <c r="F236" s="304">
        <f t="shared" si="15"/>
        <v>0</v>
      </c>
    </row>
    <row r="237" spans="2:6" ht="13.5" customHeight="1" x14ac:dyDescent="0.2">
      <c r="B237" s="20" t="s">
        <v>73</v>
      </c>
      <c r="C237" s="3" t="s">
        <v>90</v>
      </c>
      <c r="D237" s="18">
        <f t="shared" si="17"/>
        <v>2</v>
      </c>
      <c r="E237" s="261"/>
      <c r="F237" s="304">
        <f t="shared" si="15"/>
        <v>0</v>
      </c>
    </row>
    <row r="238" spans="2:6" ht="13.5" customHeight="1" x14ac:dyDescent="0.2">
      <c r="B238" s="20" t="s">
        <v>74</v>
      </c>
      <c r="C238" s="3" t="s">
        <v>90</v>
      </c>
      <c r="D238" s="18">
        <f t="shared" si="17"/>
        <v>2</v>
      </c>
      <c r="E238" s="261"/>
      <c r="F238" s="304">
        <f t="shared" si="15"/>
        <v>0</v>
      </c>
    </row>
    <row r="239" spans="2:6" ht="13.5" customHeight="1" x14ac:dyDescent="0.2">
      <c r="B239" s="20"/>
      <c r="D239" s="18"/>
      <c r="E239" s="261"/>
      <c r="F239" s="304"/>
    </row>
    <row r="240" spans="2:6" ht="24.75" customHeight="1" x14ac:dyDescent="0.2">
      <c r="B240" s="17" t="s">
        <v>75</v>
      </c>
      <c r="D240" s="18"/>
      <c r="E240" s="261"/>
      <c r="F240" s="304"/>
    </row>
    <row r="241" spans="2:6" ht="13.5" customHeight="1" x14ac:dyDescent="0.2">
      <c r="B241" s="20" t="s">
        <v>62</v>
      </c>
      <c r="C241" s="3" t="s">
        <v>90</v>
      </c>
      <c r="D241" s="18">
        <f>D173</f>
        <v>5</v>
      </c>
      <c r="E241" s="261"/>
      <c r="F241" s="304">
        <f t="shared" si="15"/>
        <v>0</v>
      </c>
    </row>
    <row r="242" spans="2:6" ht="13.5" customHeight="1" x14ac:dyDescent="0.2">
      <c r="B242" s="20" t="s">
        <v>76</v>
      </c>
      <c r="C242" s="3" t="s">
        <v>90</v>
      </c>
      <c r="D242" s="18">
        <f>D174</f>
        <v>5</v>
      </c>
      <c r="E242" s="261"/>
      <c r="F242" s="304">
        <f t="shared" si="15"/>
        <v>0</v>
      </c>
    </row>
    <row r="243" spans="2:6" ht="13.5" customHeight="1" x14ac:dyDescent="0.2">
      <c r="B243" s="20" t="s">
        <v>65</v>
      </c>
      <c r="C243" s="3" t="s">
        <v>90</v>
      </c>
      <c r="D243" s="18">
        <f>D175</f>
        <v>5</v>
      </c>
      <c r="E243" s="261"/>
      <c r="F243" s="304">
        <f t="shared" si="15"/>
        <v>0</v>
      </c>
    </row>
    <row r="244" spans="2:6" ht="13.5" customHeight="1" x14ac:dyDescent="0.2">
      <c r="B244" s="20" t="s">
        <v>66</v>
      </c>
      <c r="C244" s="3" t="s">
        <v>90</v>
      </c>
      <c r="D244" s="18">
        <f>D176</f>
        <v>5</v>
      </c>
      <c r="E244" s="261"/>
      <c r="F244" s="304">
        <f t="shared" si="15"/>
        <v>0</v>
      </c>
    </row>
    <row r="245" spans="2:6" ht="13.5" customHeight="1" x14ac:dyDescent="0.2">
      <c r="B245" s="20" t="s">
        <v>67</v>
      </c>
      <c r="C245" s="3" t="s">
        <v>90</v>
      </c>
      <c r="D245" s="18">
        <f>D177</f>
        <v>5</v>
      </c>
      <c r="E245" s="261"/>
      <c r="F245" s="304">
        <f t="shared" si="15"/>
        <v>0</v>
      </c>
    </row>
    <row r="246" spans="2:6" ht="13.5" customHeight="1" x14ac:dyDescent="0.2">
      <c r="B246" s="20"/>
      <c r="D246" s="18"/>
      <c r="E246" s="261"/>
      <c r="F246" s="304"/>
    </row>
    <row r="247" spans="2:6" ht="13.5" customHeight="1" x14ac:dyDescent="0.2">
      <c r="B247" s="17" t="s">
        <v>77</v>
      </c>
      <c r="D247" s="18"/>
      <c r="E247" s="261"/>
      <c r="F247" s="304"/>
    </row>
    <row r="248" spans="2:6" ht="13.5" customHeight="1" x14ac:dyDescent="0.2">
      <c r="B248" s="20" t="s">
        <v>69</v>
      </c>
      <c r="C248" s="3" t="s">
        <v>90</v>
      </c>
      <c r="D248" s="18">
        <f t="shared" ref="D248:D253" si="18">D180</f>
        <v>5</v>
      </c>
      <c r="E248" s="261"/>
      <c r="F248" s="304">
        <f t="shared" si="15"/>
        <v>0</v>
      </c>
    </row>
    <row r="249" spans="2:6" ht="13.5" customHeight="1" x14ac:dyDescent="0.2">
      <c r="B249" s="20" t="s">
        <v>70</v>
      </c>
      <c r="C249" s="3" t="s">
        <v>90</v>
      </c>
      <c r="D249" s="18">
        <f t="shared" si="18"/>
        <v>5</v>
      </c>
      <c r="E249" s="261"/>
      <c r="F249" s="304">
        <f t="shared" si="15"/>
        <v>0</v>
      </c>
    </row>
    <row r="250" spans="2:6" ht="13.5" customHeight="1" x14ac:dyDescent="0.2">
      <c r="B250" s="20" t="s">
        <v>71</v>
      </c>
      <c r="C250" s="3" t="s">
        <v>90</v>
      </c>
      <c r="D250" s="18">
        <f t="shared" si="18"/>
        <v>5</v>
      </c>
      <c r="E250" s="261"/>
      <c r="F250" s="304">
        <f t="shared" si="15"/>
        <v>0</v>
      </c>
    </row>
    <row r="251" spans="2:6" ht="13.5" customHeight="1" x14ac:dyDescent="0.2">
      <c r="B251" s="20" t="s">
        <v>72</v>
      </c>
      <c r="C251" s="3" t="s">
        <v>90</v>
      </c>
      <c r="D251" s="18">
        <f t="shared" si="18"/>
        <v>5</v>
      </c>
      <c r="E251" s="261"/>
      <c r="F251" s="304">
        <f t="shared" si="15"/>
        <v>0</v>
      </c>
    </row>
    <row r="252" spans="2:6" ht="13.5" customHeight="1" x14ac:dyDescent="0.2">
      <c r="B252" s="20" t="s">
        <v>73</v>
      </c>
      <c r="C252" s="3" t="s">
        <v>90</v>
      </c>
      <c r="D252" s="18">
        <f t="shared" si="18"/>
        <v>5</v>
      </c>
      <c r="E252" s="261"/>
      <c r="F252" s="304">
        <f t="shared" si="15"/>
        <v>0</v>
      </c>
    </row>
    <row r="253" spans="2:6" ht="13.5" customHeight="1" x14ac:dyDescent="0.2">
      <c r="B253" s="20" t="s">
        <v>74</v>
      </c>
      <c r="C253" s="3" t="s">
        <v>90</v>
      </c>
      <c r="D253" s="18">
        <f t="shared" si="18"/>
        <v>5</v>
      </c>
      <c r="E253" s="261"/>
      <c r="F253" s="304">
        <f t="shared" si="15"/>
        <v>0</v>
      </c>
    </row>
    <row r="254" spans="2:6" ht="13.5" customHeight="1" x14ac:dyDescent="0.2">
      <c r="B254" s="20"/>
      <c r="D254" s="18"/>
      <c r="E254" s="261"/>
      <c r="F254" s="304"/>
    </row>
    <row r="255" spans="2:6" ht="13.5" customHeight="1" x14ac:dyDescent="0.2">
      <c r="B255" s="17" t="s">
        <v>78</v>
      </c>
      <c r="D255" s="18"/>
      <c r="E255" s="261"/>
      <c r="F255" s="304"/>
    </row>
    <row r="256" spans="2:6" ht="13.5" customHeight="1" x14ac:dyDescent="0.2">
      <c r="B256" s="20" t="s">
        <v>62</v>
      </c>
      <c r="C256" s="3" t="s">
        <v>90</v>
      </c>
      <c r="D256" s="18">
        <f>D188</f>
        <v>5</v>
      </c>
      <c r="E256" s="261"/>
      <c r="F256" s="304">
        <f t="shared" si="15"/>
        <v>0</v>
      </c>
    </row>
    <row r="257" spans="2:6" ht="13.5" customHeight="1" x14ac:dyDescent="0.2">
      <c r="B257" s="20" t="s">
        <v>76</v>
      </c>
      <c r="C257" s="3" t="s">
        <v>90</v>
      </c>
      <c r="D257" s="18">
        <f>D189</f>
        <v>5</v>
      </c>
      <c r="E257" s="261"/>
      <c r="F257" s="304">
        <f t="shared" si="15"/>
        <v>0</v>
      </c>
    </row>
    <row r="258" spans="2:6" ht="13.5" customHeight="1" x14ac:dyDescent="0.2">
      <c r="B258" s="20" t="s">
        <v>65</v>
      </c>
      <c r="C258" s="3" t="s">
        <v>90</v>
      </c>
      <c r="D258" s="18">
        <f>D190</f>
        <v>5</v>
      </c>
      <c r="E258" s="261"/>
      <c r="F258" s="304">
        <f t="shared" si="15"/>
        <v>0</v>
      </c>
    </row>
    <row r="259" spans="2:6" ht="13.5" customHeight="1" x14ac:dyDescent="0.2">
      <c r="B259" s="20" t="s">
        <v>66</v>
      </c>
      <c r="C259" s="3" t="s">
        <v>90</v>
      </c>
      <c r="D259" s="18">
        <f>D191</f>
        <v>5</v>
      </c>
      <c r="E259" s="261"/>
      <c r="F259" s="304">
        <f t="shared" si="15"/>
        <v>0</v>
      </c>
    </row>
    <row r="260" spans="2:6" ht="13.5" customHeight="1" x14ac:dyDescent="0.2">
      <c r="B260" s="20" t="s">
        <v>67</v>
      </c>
      <c r="C260" s="3" t="s">
        <v>90</v>
      </c>
      <c r="D260" s="18">
        <f>D192</f>
        <v>5</v>
      </c>
      <c r="E260" s="261"/>
      <c r="F260" s="304">
        <f t="shared" si="15"/>
        <v>0</v>
      </c>
    </row>
    <row r="261" spans="2:6" ht="13.5" customHeight="1" x14ac:dyDescent="0.2">
      <c r="B261" s="20"/>
      <c r="D261" s="18"/>
      <c r="E261" s="261"/>
      <c r="F261" s="304"/>
    </row>
    <row r="262" spans="2:6" ht="13.5" customHeight="1" x14ac:dyDescent="0.2">
      <c r="B262" s="17" t="s">
        <v>79</v>
      </c>
      <c r="D262" s="18"/>
      <c r="E262" s="261"/>
      <c r="F262" s="304"/>
    </row>
    <row r="263" spans="2:6" ht="13.5" customHeight="1" x14ac:dyDescent="0.2">
      <c r="B263" s="20" t="s">
        <v>69</v>
      </c>
      <c r="C263" s="3" t="s">
        <v>90</v>
      </c>
      <c r="D263" s="18">
        <f>D196</f>
        <v>5</v>
      </c>
      <c r="E263" s="261"/>
      <c r="F263" s="304">
        <f t="shared" si="15"/>
        <v>0</v>
      </c>
    </row>
    <row r="264" spans="2:6" ht="13.5" customHeight="1" x14ac:dyDescent="0.2">
      <c r="B264" s="20" t="s">
        <v>70</v>
      </c>
      <c r="C264" s="3" t="s">
        <v>90</v>
      </c>
      <c r="D264" s="18">
        <f>D197</f>
        <v>5</v>
      </c>
      <c r="E264" s="261"/>
      <c r="F264" s="304">
        <f t="shared" si="15"/>
        <v>0</v>
      </c>
    </row>
    <row r="265" spans="2:6" ht="13.5" customHeight="1" x14ac:dyDescent="0.2">
      <c r="B265" s="20" t="s">
        <v>71</v>
      </c>
      <c r="C265" s="3" t="s">
        <v>90</v>
      </c>
      <c r="D265" s="18">
        <f>D198</f>
        <v>5</v>
      </c>
      <c r="E265" s="261"/>
      <c r="F265" s="304">
        <f t="shared" si="15"/>
        <v>0</v>
      </c>
    </row>
    <row r="266" spans="2:6" ht="13.5" customHeight="1" x14ac:dyDescent="0.2">
      <c r="B266" s="20" t="s">
        <v>80</v>
      </c>
      <c r="C266" s="3" t="s">
        <v>90</v>
      </c>
      <c r="D266" s="18">
        <f>D199</f>
        <v>5</v>
      </c>
      <c r="E266" s="261"/>
      <c r="F266" s="304">
        <f t="shared" si="15"/>
        <v>0</v>
      </c>
    </row>
    <row r="267" spans="2:6" ht="13.5" customHeight="1" x14ac:dyDescent="0.2">
      <c r="B267" s="20" t="s">
        <v>74</v>
      </c>
      <c r="C267" s="3" t="s">
        <v>90</v>
      </c>
      <c r="D267" s="18">
        <f>D200</f>
        <v>5</v>
      </c>
      <c r="E267" s="261"/>
      <c r="F267" s="304">
        <f t="shared" si="15"/>
        <v>0</v>
      </c>
    </row>
    <row r="268" spans="2:6" ht="13.5" customHeight="1" x14ac:dyDescent="0.2">
      <c r="B268" s="20"/>
      <c r="D268" s="18"/>
      <c r="E268" s="261"/>
      <c r="F268" s="304"/>
    </row>
    <row r="269" spans="2:6" ht="13.5" customHeight="1" x14ac:dyDescent="0.2">
      <c r="B269" s="17" t="s">
        <v>81</v>
      </c>
      <c r="D269" s="18"/>
      <c r="E269" s="261"/>
      <c r="F269" s="304"/>
    </row>
    <row r="270" spans="2:6" ht="13.5" customHeight="1" x14ac:dyDescent="0.2">
      <c r="B270" s="20" t="s">
        <v>62</v>
      </c>
      <c r="C270" s="3" t="s">
        <v>90</v>
      </c>
      <c r="D270" s="18">
        <f>D203</f>
        <v>5</v>
      </c>
      <c r="E270" s="261"/>
      <c r="F270" s="304">
        <f t="shared" si="15"/>
        <v>0</v>
      </c>
    </row>
    <row r="271" spans="2:6" ht="13.5" customHeight="1" x14ac:dyDescent="0.2">
      <c r="B271" s="20" t="s">
        <v>76</v>
      </c>
      <c r="C271" s="3" t="s">
        <v>90</v>
      </c>
      <c r="D271" s="18">
        <f>D204</f>
        <v>5</v>
      </c>
      <c r="E271" s="261"/>
      <c r="F271" s="304">
        <f t="shared" si="15"/>
        <v>0</v>
      </c>
    </row>
    <row r="272" spans="2:6" ht="13.5" customHeight="1" x14ac:dyDescent="0.2">
      <c r="B272" s="20" t="s">
        <v>65</v>
      </c>
      <c r="C272" s="3" t="s">
        <v>90</v>
      </c>
      <c r="D272" s="18">
        <f>D205</f>
        <v>5</v>
      </c>
      <c r="E272" s="261"/>
      <c r="F272" s="304">
        <f t="shared" si="15"/>
        <v>0</v>
      </c>
    </row>
    <row r="273" spans="2:6" ht="13.5" customHeight="1" x14ac:dyDescent="0.2">
      <c r="B273" s="20" t="s">
        <v>66</v>
      </c>
      <c r="C273" s="3" t="s">
        <v>90</v>
      </c>
      <c r="D273" s="18">
        <f>D206</f>
        <v>5</v>
      </c>
      <c r="E273" s="261"/>
      <c r="F273" s="304">
        <f t="shared" ref="F273:F334" si="19">ROUND(D273*E273,2)</f>
        <v>0</v>
      </c>
    </row>
    <row r="274" spans="2:6" ht="13.5" customHeight="1" x14ac:dyDescent="0.2">
      <c r="B274" s="20" t="s">
        <v>67</v>
      </c>
      <c r="C274" s="3" t="s">
        <v>90</v>
      </c>
      <c r="D274" s="18">
        <f>D207</f>
        <v>5</v>
      </c>
      <c r="E274" s="261"/>
      <c r="F274" s="304">
        <f t="shared" si="19"/>
        <v>0</v>
      </c>
    </row>
    <row r="275" spans="2:6" ht="13.5" customHeight="1" x14ac:dyDescent="0.2">
      <c r="B275" s="20"/>
      <c r="D275" s="18"/>
      <c r="E275" s="261"/>
      <c r="F275" s="304"/>
    </row>
    <row r="276" spans="2:6" ht="13.5" customHeight="1" x14ac:dyDescent="0.2">
      <c r="B276" s="17" t="s">
        <v>82</v>
      </c>
      <c r="D276" s="18"/>
      <c r="E276" s="261"/>
      <c r="F276" s="304"/>
    </row>
    <row r="277" spans="2:6" ht="13.5" customHeight="1" x14ac:dyDescent="0.2">
      <c r="B277" s="20" t="s">
        <v>69</v>
      </c>
      <c r="C277" s="3" t="s">
        <v>90</v>
      </c>
      <c r="D277" s="18">
        <f>D210</f>
        <v>5</v>
      </c>
      <c r="E277" s="261"/>
      <c r="F277" s="304">
        <f t="shared" si="19"/>
        <v>0</v>
      </c>
    </row>
    <row r="278" spans="2:6" ht="13.5" customHeight="1" x14ac:dyDescent="0.2">
      <c r="B278" s="20" t="s">
        <v>70</v>
      </c>
      <c r="C278" s="3" t="s">
        <v>90</v>
      </c>
      <c r="D278" s="18">
        <f>D211</f>
        <v>5</v>
      </c>
      <c r="E278" s="261"/>
      <c r="F278" s="304">
        <f t="shared" si="19"/>
        <v>0</v>
      </c>
    </row>
    <row r="279" spans="2:6" ht="13.5" customHeight="1" x14ac:dyDescent="0.2">
      <c r="B279" s="20" t="s">
        <v>71</v>
      </c>
      <c r="C279" s="3" t="s">
        <v>90</v>
      </c>
      <c r="D279" s="18">
        <f>D212</f>
        <v>5</v>
      </c>
      <c r="E279" s="261"/>
      <c r="F279" s="304">
        <f t="shared" si="19"/>
        <v>0</v>
      </c>
    </row>
    <row r="280" spans="2:6" ht="13.5" customHeight="1" x14ac:dyDescent="0.2">
      <c r="B280" s="20" t="s">
        <v>80</v>
      </c>
      <c r="C280" s="3" t="s">
        <v>90</v>
      </c>
      <c r="D280" s="18">
        <f>D213</f>
        <v>5</v>
      </c>
      <c r="E280" s="261"/>
      <c r="F280" s="304">
        <f t="shared" si="19"/>
        <v>0</v>
      </c>
    </row>
    <row r="281" spans="2:6" ht="13.5" customHeight="1" x14ac:dyDescent="0.2">
      <c r="B281" s="20" t="s">
        <v>74</v>
      </c>
      <c r="C281" s="3" t="s">
        <v>90</v>
      </c>
      <c r="D281" s="18">
        <f>D214</f>
        <v>5</v>
      </c>
      <c r="E281" s="261"/>
      <c r="F281" s="304">
        <f t="shared" si="19"/>
        <v>0</v>
      </c>
    </row>
    <row r="282" spans="2:6" ht="13.5" customHeight="1" x14ac:dyDescent="0.2">
      <c r="B282" s="20"/>
      <c r="D282" s="18"/>
      <c r="E282" s="261"/>
      <c r="F282" s="304"/>
    </row>
    <row r="283" spans="2:6" ht="13.5" customHeight="1" x14ac:dyDescent="0.2">
      <c r="B283" s="17" t="s">
        <v>83</v>
      </c>
      <c r="D283" s="18"/>
      <c r="E283" s="261"/>
      <c r="F283" s="304"/>
    </row>
    <row r="284" spans="2:6" ht="13.5" customHeight="1" x14ac:dyDescent="0.2">
      <c r="B284" s="20" t="s">
        <v>62</v>
      </c>
      <c r="C284" s="3" t="s">
        <v>90</v>
      </c>
      <c r="D284" s="18">
        <f>D217</f>
        <v>5</v>
      </c>
      <c r="E284" s="261"/>
      <c r="F284" s="304">
        <f t="shared" si="19"/>
        <v>0</v>
      </c>
    </row>
    <row r="285" spans="2:6" ht="13.5" customHeight="1" x14ac:dyDescent="0.2">
      <c r="B285" s="20" t="s">
        <v>76</v>
      </c>
      <c r="C285" s="3" t="s">
        <v>90</v>
      </c>
      <c r="D285" s="18">
        <f>D218</f>
        <v>5</v>
      </c>
      <c r="E285" s="261"/>
      <c r="F285" s="304">
        <f t="shared" si="19"/>
        <v>0</v>
      </c>
    </row>
    <row r="286" spans="2:6" ht="13.5" customHeight="1" x14ac:dyDescent="0.2">
      <c r="B286" s="20" t="s">
        <v>65</v>
      </c>
      <c r="C286" s="3" t="s">
        <v>90</v>
      </c>
      <c r="D286" s="18">
        <f>D219</f>
        <v>5</v>
      </c>
      <c r="E286" s="261"/>
      <c r="F286" s="304">
        <f t="shared" si="19"/>
        <v>0</v>
      </c>
    </row>
    <row r="287" spans="2:6" ht="13.5" customHeight="1" x14ac:dyDescent="0.2">
      <c r="B287" s="20" t="s">
        <v>66</v>
      </c>
      <c r="C287" s="3" t="s">
        <v>90</v>
      </c>
      <c r="D287" s="18">
        <f>D220</f>
        <v>5</v>
      </c>
      <c r="E287" s="261"/>
      <c r="F287" s="304">
        <f t="shared" si="19"/>
        <v>0</v>
      </c>
    </row>
    <row r="288" spans="2:6" ht="13.5" customHeight="1" x14ac:dyDescent="0.2">
      <c r="B288" s="20" t="s">
        <v>67</v>
      </c>
      <c r="C288" s="3" t="s">
        <v>90</v>
      </c>
      <c r="D288" s="18">
        <f>D221</f>
        <v>5</v>
      </c>
      <c r="E288" s="261"/>
      <c r="F288" s="304">
        <f t="shared" si="19"/>
        <v>0</v>
      </c>
    </row>
    <row r="289" spans="1:6" ht="13.5" customHeight="1" x14ac:dyDescent="0.2">
      <c r="B289" s="20"/>
      <c r="D289" s="18"/>
      <c r="E289" s="261"/>
      <c r="F289" s="304"/>
    </row>
    <row r="290" spans="1:6" ht="13.5" customHeight="1" x14ac:dyDescent="0.2">
      <c r="B290" s="20"/>
      <c r="D290" s="18"/>
      <c r="E290" s="261"/>
      <c r="F290" s="304"/>
    </row>
    <row r="291" spans="1:6" ht="13.5" customHeight="1" x14ac:dyDescent="0.2">
      <c r="B291" s="20"/>
      <c r="D291" s="18"/>
      <c r="E291" s="261"/>
      <c r="F291" s="304"/>
    </row>
    <row r="292" spans="1:6" ht="13.5" customHeight="1" x14ac:dyDescent="0.2">
      <c r="B292" s="20"/>
      <c r="D292" s="18"/>
      <c r="E292" s="261"/>
      <c r="F292" s="304"/>
    </row>
    <row r="293" spans="1:6" ht="13.5" customHeight="1" x14ac:dyDescent="0.2">
      <c r="B293" s="20"/>
      <c r="D293" s="18"/>
      <c r="E293" s="261"/>
      <c r="F293" s="304"/>
    </row>
    <row r="294" spans="1:6" x14ac:dyDescent="0.2">
      <c r="B294" s="26" t="s">
        <v>93</v>
      </c>
      <c r="E294" s="259"/>
      <c r="F294" s="304"/>
    </row>
    <row r="295" spans="1:6" ht="65.25" x14ac:dyDescent="0.2">
      <c r="A295" s="1" t="s">
        <v>94</v>
      </c>
      <c r="B295" s="27" t="s">
        <v>95</v>
      </c>
      <c r="D295" s="18"/>
      <c r="E295" s="261"/>
      <c r="F295" s="304"/>
    </row>
    <row r="296" spans="1:6" x14ac:dyDescent="0.2">
      <c r="B296" s="8" t="s">
        <v>96</v>
      </c>
      <c r="E296" s="259"/>
      <c r="F296" s="304"/>
    </row>
    <row r="297" spans="1:6" ht="14.25" x14ac:dyDescent="0.2">
      <c r="A297" s="1" t="s">
        <v>97</v>
      </c>
      <c r="B297" s="28" t="s">
        <v>98</v>
      </c>
      <c r="C297" s="3" t="s">
        <v>48</v>
      </c>
      <c r="D297" s="18">
        <f>17.35*6.65</f>
        <v>115.37750000000001</v>
      </c>
      <c r="E297" s="261"/>
      <c r="F297" s="304"/>
    </row>
    <row r="298" spans="1:6" ht="14.25" x14ac:dyDescent="0.2">
      <c r="A298" s="1" t="s">
        <v>99</v>
      </c>
      <c r="B298" s="28" t="s">
        <v>100</v>
      </c>
      <c r="C298" s="3" t="s">
        <v>48</v>
      </c>
      <c r="D298" s="18">
        <f>17.35*4</f>
        <v>69.400000000000006</v>
      </c>
      <c r="E298" s="261"/>
      <c r="F298" s="304"/>
    </row>
    <row r="299" spans="1:6" ht="14.25" x14ac:dyDescent="0.2">
      <c r="A299" s="1" t="s">
        <v>101</v>
      </c>
      <c r="B299" s="28" t="s">
        <v>102</v>
      </c>
      <c r="C299" s="3" t="s">
        <v>48</v>
      </c>
      <c r="D299" s="18">
        <f>14.15*6.65</f>
        <v>94.097500000000011</v>
      </c>
      <c r="E299" s="261"/>
      <c r="F299" s="304"/>
    </row>
    <row r="300" spans="1:6" x14ac:dyDescent="0.2">
      <c r="B300" s="20"/>
      <c r="D300" s="18"/>
      <c r="E300" s="261"/>
      <c r="F300" s="304"/>
    </row>
    <row r="301" spans="1:6" x14ac:dyDescent="0.2">
      <c r="B301" s="8" t="s">
        <v>103</v>
      </c>
      <c r="D301" s="18"/>
      <c r="E301" s="261"/>
      <c r="F301" s="304"/>
    </row>
    <row r="302" spans="1:6" ht="14.25" x14ac:dyDescent="0.2">
      <c r="A302" s="1" t="s">
        <v>104</v>
      </c>
      <c r="B302" s="28" t="s">
        <v>98</v>
      </c>
      <c r="C302" s="3" t="s">
        <v>48</v>
      </c>
      <c r="D302" s="18">
        <f>17.35*6.65</f>
        <v>115.37750000000001</v>
      </c>
      <c r="E302" s="261"/>
      <c r="F302" s="304"/>
    </row>
    <row r="303" spans="1:6" ht="14.25" x14ac:dyDescent="0.2">
      <c r="A303" s="1" t="s">
        <v>105</v>
      </c>
      <c r="B303" s="28" t="s">
        <v>106</v>
      </c>
      <c r="C303" s="3" t="s">
        <v>48</v>
      </c>
      <c r="D303" s="18">
        <f>17.35*4</f>
        <v>69.400000000000006</v>
      </c>
      <c r="E303" s="261"/>
      <c r="F303" s="304"/>
    </row>
    <row r="304" spans="1:6" ht="14.25" x14ac:dyDescent="0.2">
      <c r="A304" s="1" t="s">
        <v>107</v>
      </c>
      <c r="B304" s="28" t="s">
        <v>102</v>
      </c>
      <c r="C304" s="3" t="s">
        <v>48</v>
      </c>
      <c r="D304" s="18">
        <f>14.15*6.65</f>
        <v>94.097500000000011</v>
      </c>
      <c r="E304" s="261"/>
      <c r="F304" s="304"/>
    </row>
    <row r="305" spans="1:6" x14ac:dyDescent="0.2">
      <c r="B305" s="8"/>
      <c r="D305" s="18"/>
      <c r="E305" s="261"/>
      <c r="F305" s="304"/>
    </row>
    <row r="306" spans="1:6" x14ac:dyDescent="0.2">
      <c r="B306" s="8" t="s">
        <v>108</v>
      </c>
      <c r="D306" s="18"/>
      <c r="E306" s="261"/>
      <c r="F306" s="304"/>
    </row>
    <row r="307" spans="1:6" ht="14.25" x14ac:dyDescent="0.2">
      <c r="A307" s="1" t="s">
        <v>109</v>
      </c>
      <c r="B307" s="28" t="s">
        <v>100</v>
      </c>
      <c r="C307" s="3" t="s">
        <v>48</v>
      </c>
      <c r="D307" s="18">
        <f>17.35*4.45</f>
        <v>77.20750000000001</v>
      </c>
      <c r="E307" s="261"/>
      <c r="F307" s="304"/>
    </row>
    <row r="308" spans="1:6" ht="14.25" x14ac:dyDescent="0.2">
      <c r="A308" s="1" t="s">
        <v>110</v>
      </c>
      <c r="B308" s="28" t="s">
        <v>111</v>
      </c>
      <c r="C308" s="3" t="s">
        <v>48</v>
      </c>
      <c r="D308" s="18">
        <f>17.35*2.8</f>
        <v>48.58</v>
      </c>
      <c r="E308" s="261"/>
      <c r="F308" s="304"/>
    </row>
    <row r="309" spans="1:6" ht="14.25" x14ac:dyDescent="0.2">
      <c r="A309" s="1" t="s">
        <v>112</v>
      </c>
      <c r="B309" s="28" t="s">
        <v>106</v>
      </c>
      <c r="C309" s="3" t="s">
        <v>48</v>
      </c>
      <c r="D309" s="18">
        <f>17.35*4.45</f>
        <v>77.20750000000001</v>
      </c>
      <c r="E309" s="261"/>
      <c r="F309" s="304"/>
    </row>
    <row r="310" spans="1:6" ht="14.25" x14ac:dyDescent="0.2">
      <c r="B310" s="22" t="s">
        <v>84</v>
      </c>
      <c r="C310" s="23" t="s">
        <v>85</v>
      </c>
      <c r="D310" s="24">
        <f>SUM(D297:D309)</f>
        <v>760.745</v>
      </c>
      <c r="E310" s="261"/>
      <c r="F310" s="304">
        <f t="shared" si="19"/>
        <v>0</v>
      </c>
    </row>
    <row r="311" spans="1:6" x14ac:dyDescent="0.2">
      <c r="B311" s="17" t="s">
        <v>86</v>
      </c>
      <c r="D311" s="18"/>
      <c r="E311" s="261"/>
      <c r="F311" s="304"/>
    </row>
    <row r="312" spans="1:6" ht="14.25" x14ac:dyDescent="0.2">
      <c r="B312" s="20" t="s">
        <v>113</v>
      </c>
      <c r="C312" s="3" t="s">
        <v>87</v>
      </c>
      <c r="D312" s="18">
        <f>0.05*1.3*D310</f>
        <v>49.448425</v>
      </c>
      <c r="E312" s="261"/>
      <c r="F312" s="304">
        <f t="shared" si="19"/>
        <v>0</v>
      </c>
    </row>
    <row r="313" spans="1:6" x14ac:dyDescent="0.2">
      <c r="B313" s="20"/>
      <c r="D313" s="18"/>
      <c r="E313" s="261"/>
      <c r="F313" s="304"/>
    </row>
    <row r="314" spans="1:6" ht="64.5" customHeight="1" x14ac:dyDescent="0.2">
      <c r="A314" s="1" t="s">
        <v>114</v>
      </c>
      <c r="B314" s="27" t="s">
        <v>115</v>
      </c>
      <c r="D314" s="18"/>
      <c r="E314" s="261"/>
      <c r="F314" s="304"/>
    </row>
    <row r="315" spans="1:6" x14ac:dyDescent="0.2">
      <c r="B315" s="8" t="s">
        <v>96</v>
      </c>
      <c r="D315" s="18"/>
      <c r="E315" s="261"/>
      <c r="F315" s="304"/>
    </row>
    <row r="316" spans="1:6" ht="14.25" x14ac:dyDescent="0.2">
      <c r="A316" s="1" t="s">
        <v>116</v>
      </c>
      <c r="B316" s="28" t="s">
        <v>98</v>
      </c>
      <c r="C316" s="3" t="s">
        <v>48</v>
      </c>
      <c r="D316" s="18">
        <f>17.35*6.65</f>
        <v>115.37750000000001</v>
      </c>
      <c r="E316" s="261"/>
      <c r="F316" s="304">
        <f t="shared" si="19"/>
        <v>0</v>
      </c>
    </row>
    <row r="317" spans="1:6" ht="14.25" x14ac:dyDescent="0.2">
      <c r="A317" s="1" t="s">
        <v>117</v>
      </c>
      <c r="B317" s="28" t="s">
        <v>100</v>
      </c>
      <c r="C317" s="3" t="s">
        <v>48</v>
      </c>
      <c r="D317" s="18">
        <f>17.35*4</f>
        <v>69.400000000000006</v>
      </c>
      <c r="E317" s="261"/>
      <c r="F317" s="304">
        <f t="shared" si="19"/>
        <v>0</v>
      </c>
    </row>
    <row r="318" spans="1:6" ht="14.25" x14ac:dyDescent="0.2">
      <c r="A318" s="1" t="s">
        <v>118</v>
      </c>
      <c r="B318" s="28" t="s">
        <v>102</v>
      </c>
      <c r="C318" s="3" t="s">
        <v>48</v>
      </c>
      <c r="D318" s="18">
        <f>14.15*6.65</f>
        <v>94.097500000000011</v>
      </c>
      <c r="E318" s="261"/>
      <c r="F318" s="304">
        <f t="shared" si="19"/>
        <v>0</v>
      </c>
    </row>
    <row r="319" spans="1:6" x14ac:dyDescent="0.2">
      <c r="B319" s="20"/>
      <c r="D319" s="18"/>
      <c r="E319" s="261"/>
      <c r="F319" s="304"/>
    </row>
    <row r="320" spans="1:6" x14ac:dyDescent="0.2">
      <c r="B320" s="8" t="s">
        <v>103</v>
      </c>
      <c r="D320" s="18"/>
      <c r="E320" s="261"/>
      <c r="F320" s="304"/>
    </row>
    <row r="321" spans="1:6" ht="14.25" x14ac:dyDescent="0.2">
      <c r="A321" s="1" t="s">
        <v>119</v>
      </c>
      <c r="B321" s="28" t="s">
        <v>98</v>
      </c>
      <c r="C321" s="3" t="s">
        <v>48</v>
      </c>
      <c r="D321" s="18">
        <f>17.35*6.65</f>
        <v>115.37750000000001</v>
      </c>
      <c r="E321" s="261"/>
      <c r="F321" s="304">
        <f t="shared" si="19"/>
        <v>0</v>
      </c>
    </row>
    <row r="322" spans="1:6" ht="14.25" x14ac:dyDescent="0.2">
      <c r="A322" s="1" t="s">
        <v>120</v>
      </c>
      <c r="B322" s="28" t="s">
        <v>106</v>
      </c>
      <c r="C322" s="3" t="s">
        <v>48</v>
      </c>
      <c r="D322" s="18">
        <f>17.35*4</f>
        <v>69.400000000000006</v>
      </c>
      <c r="E322" s="261"/>
      <c r="F322" s="304">
        <f t="shared" si="19"/>
        <v>0</v>
      </c>
    </row>
    <row r="323" spans="1:6" ht="14.25" x14ac:dyDescent="0.2">
      <c r="A323" s="1" t="s">
        <v>121</v>
      </c>
      <c r="B323" s="28" t="s">
        <v>102</v>
      </c>
      <c r="C323" s="3" t="s">
        <v>48</v>
      </c>
      <c r="D323" s="18">
        <f>14.15*6.65</f>
        <v>94.097500000000011</v>
      </c>
      <c r="E323" s="261"/>
      <c r="F323" s="304">
        <f t="shared" si="19"/>
        <v>0</v>
      </c>
    </row>
    <row r="324" spans="1:6" x14ac:dyDescent="0.2">
      <c r="B324" s="8"/>
      <c r="D324" s="18"/>
      <c r="E324" s="261"/>
      <c r="F324" s="304"/>
    </row>
    <row r="325" spans="1:6" x14ac:dyDescent="0.2">
      <c r="B325" s="8" t="s">
        <v>108</v>
      </c>
      <c r="D325" s="18"/>
      <c r="E325" s="261"/>
      <c r="F325" s="304"/>
    </row>
    <row r="326" spans="1:6" ht="14.25" x14ac:dyDescent="0.2">
      <c r="A326" s="1" t="s">
        <v>122</v>
      </c>
      <c r="B326" s="28" t="s">
        <v>100</v>
      </c>
      <c r="C326" s="3" t="s">
        <v>48</v>
      </c>
      <c r="D326" s="18">
        <f>17.35*4.45</f>
        <v>77.20750000000001</v>
      </c>
      <c r="E326" s="261"/>
      <c r="F326" s="304">
        <f t="shared" si="19"/>
        <v>0</v>
      </c>
    </row>
    <row r="327" spans="1:6" ht="14.25" x14ac:dyDescent="0.2">
      <c r="A327" s="1" t="s">
        <v>123</v>
      </c>
      <c r="B327" s="28" t="s">
        <v>111</v>
      </c>
      <c r="C327" s="3" t="s">
        <v>48</v>
      </c>
      <c r="D327" s="18">
        <f>17.35*2.8</f>
        <v>48.58</v>
      </c>
      <c r="E327" s="261"/>
      <c r="F327" s="304">
        <f t="shared" si="19"/>
        <v>0</v>
      </c>
    </row>
    <row r="328" spans="1:6" ht="14.25" x14ac:dyDescent="0.2">
      <c r="A328" s="1" t="s">
        <v>124</v>
      </c>
      <c r="B328" s="28" t="s">
        <v>106</v>
      </c>
      <c r="C328" s="3" t="s">
        <v>48</v>
      </c>
      <c r="D328" s="18">
        <f>17.35*4.45</f>
        <v>77.20750000000001</v>
      </c>
      <c r="E328" s="261"/>
      <c r="F328" s="304">
        <f t="shared" si="19"/>
        <v>0</v>
      </c>
    </row>
    <row r="329" spans="1:6" x14ac:dyDescent="0.2">
      <c r="B329" s="29"/>
      <c r="D329" s="18"/>
      <c r="E329" s="261"/>
      <c r="F329" s="304">
        <f t="shared" si="19"/>
        <v>0</v>
      </c>
    </row>
    <row r="330" spans="1:6" ht="65.25" customHeight="1" x14ac:dyDescent="0.2">
      <c r="A330" s="1" t="s">
        <v>125</v>
      </c>
      <c r="B330" s="27" t="s">
        <v>126</v>
      </c>
      <c r="D330" s="18"/>
      <c r="E330" s="261"/>
      <c r="F330" s="304"/>
    </row>
    <row r="331" spans="1:6" ht="14.25" customHeight="1" x14ac:dyDescent="0.2">
      <c r="B331" s="8" t="s">
        <v>96</v>
      </c>
      <c r="D331" s="18"/>
      <c r="E331" s="261"/>
      <c r="F331" s="304"/>
    </row>
    <row r="332" spans="1:6" ht="14.25" x14ac:dyDescent="0.2">
      <c r="A332" s="1" t="s">
        <v>127</v>
      </c>
      <c r="B332" s="28" t="s">
        <v>98</v>
      </c>
      <c r="C332" s="3" t="s">
        <v>48</v>
      </c>
      <c r="D332" s="18">
        <f>17.35*6.65</f>
        <v>115.37750000000001</v>
      </c>
      <c r="E332" s="261"/>
      <c r="F332" s="304">
        <f t="shared" si="19"/>
        <v>0</v>
      </c>
    </row>
    <row r="333" spans="1:6" ht="14.25" x14ac:dyDescent="0.2">
      <c r="A333" s="1" t="s">
        <v>128</v>
      </c>
      <c r="B333" s="28" t="s">
        <v>100</v>
      </c>
      <c r="C333" s="3" t="s">
        <v>48</v>
      </c>
      <c r="D333" s="18">
        <f>17.35*4</f>
        <v>69.400000000000006</v>
      </c>
      <c r="E333" s="261"/>
      <c r="F333" s="304">
        <f t="shared" si="19"/>
        <v>0</v>
      </c>
    </row>
    <row r="334" spans="1:6" ht="14.25" x14ac:dyDescent="0.2">
      <c r="A334" s="1" t="s">
        <v>129</v>
      </c>
      <c r="B334" s="28" t="s">
        <v>102</v>
      </c>
      <c r="C334" s="3" t="s">
        <v>48</v>
      </c>
      <c r="D334" s="18">
        <f>14.15*6.65</f>
        <v>94.097500000000011</v>
      </c>
      <c r="E334" s="261"/>
      <c r="F334" s="304">
        <f t="shared" si="19"/>
        <v>0</v>
      </c>
    </row>
    <row r="335" spans="1:6" x14ac:dyDescent="0.2">
      <c r="B335" s="20"/>
      <c r="D335" s="18"/>
      <c r="E335" s="261"/>
      <c r="F335" s="304"/>
    </row>
    <row r="336" spans="1:6" x14ac:dyDescent="0.2">
      <c r="B336" s="8" t="s">
        <v>103</v>
      </c>
      <c r="D336" s="18"/>
      <c r="E336" s="261"/>
      <c r="F336" s="304"/>
    </row>
    <row r="337" spans="1:9" ht="14.25" x14ac:dyDescent="0.2">
      <c r="A337" s="1" t="s">
        <v>130</v>
      </c>
      <c r="B337" s="28" t="s">
        <v>98</v>
      </c>
      <c r="C337" s="3" t="s">
        <v>48</v>
      </c>
      <c r="D337" s="18">
        <f>17.35*6.65</f>
        <v>115.37750000000001</v>
      </c>
      <c r="E337" s="261"/>
      <c r="F337" s="304">
        <f t="shared" ref="F337:F396" si="20">ROUND(D337*E337,2)</f>
        <v>0</v>
      </c>
    </row>
    <row r="338" spans="1:9" ht="14.25" x14ac:dyDescent="0.2">
      <c r="A338" s="1" t="s">
        <v>131</v>
      </c>
      <c r="B338" s="28" t="s">
        <v>106</v>
      </c>
      <c r="C338" s="3" t="s">
        <v>48</v>
      </c>
      <c r="D338" s="18">
        <f>17.35*4</f>
        <v>69.400000000000006</v>
      </c>
      <c r="E338" s="261"/>
      <c r="F338" s="304">
        <f t="shared" si="20"/>
        <v>0</v>
      </c>
    </row>
    <row r="339" spans="1:9" ht="14.25" x14ac:dyDescent="0.2">
      <c r="A339" s="1" t="s">
        <v>132</v>
      </c>
      <c r="B339" s="28" t="s">
        <v>102</v>
      </c>
      <c r="C339" s="3" t="s">
        <v>48</v>
      </c>
      <c r="D339" s="18">
        <f>14.15*6.65</f>
        <v>94.097500000000011</v>
      </c>
      <c r="E339" s="261"/>
      <c r="F339" s="304">
        <f t="shared" si="20"/>
        <v>0</v>
      </c>
    </row>
    <row r="340" spans="1:9" x14ac:dyDescent="0.2">
      <c r="B340" s="8"/>
      <c r="D340" s="18"/>
      <c r="E340" s="261"/>
      <c r="F340" s="304"/>
    </row>
    <row r="341" spans="1:9" x14ac:dyDescent="0.2">
      <c r="B341" s="8" t="s">
        <v>108</v>
      </c>
      <c r="D341" s="18"/>
      <c r="E341" s="261"/>
      <c r="F341" s="304"/>
    </row>
    <row r="342" spans="1:9" ht="14.25" x14ac:dyDescent="0.2">
      <c r="A342" s="1" t="s">
        <v>133</v>
      </c>
      <c r="B342" s="28" t="s">
        <v>100</v>
      </c>
      <c r="C342" s="3" t="s">
        <v>48</v>
      </c>
      <c r="D342" s="18">
        <f>17.35*4.45</f>
        <v>77.20750000000001</v>
      </c>
      <c r="E342" s="261"/>
      <c r="F342" s="304">
        <f t="shared" si="20"/>
        <v>0</v>
      </c>
    </row>
    <row r="343" spans="1:9" ht="14.25" x14ac:dyDescent="0.2">
      <c r="A343" s="1" t="s">
        <v>134</v>
      </c>
      <c r="B343" s="28" t="s">
        <v>111</v>
      </c>
      <c r="C343" s="3" t="s">
        <v>48</v>
      </c>
      <c r="D343" s="18">
        <f>17.35*2.8</f>
        <v>48.58</v>
      </c>
      <c r="E343" s="261"/>
      <c r="F343" s="304">
        <f t="shared" si="20"/>
        <v>0</v>
      </c>
    </row>
    <row r="344" spans="1:9" ht="14.25" x14ac:dyDescent="0.2">
      <c r="A344" s="1" t="s">
        <v>135</v>
      </c>
      <c r="B344" s="28" t="s">
        <v>106</v>
      </c>
      <c r="C344" s="3" t="s">
        <v>48</v>
      </c>
      <c r="D344" s="18">
        <f>17.35*4.45</f>
        <v>77.20750000000001</v>
      </c>
      <c r="E344" s="261"/>
      <c r="F344" s="304">
        <f t="shared" si="20"/>
        <v>0</v>
      </c>
    </row>
    <row r="345" spans="1:9" x14ac:dyDescent="0.2">
      <c r="D345" s="18"/>
      <c r="E345" s="261"/>
      <c r="F345" s="304"/>
    </row>
    <row r="346" spans="1:9" ht="102" x14ac:dyDescent="0.2">
      <c r="A346" s="30" t="s">
        <v>136</v>
      </c>
      <c r="B346" s="31" t="s">
        <v>137</v>
      </c>
      <c r="C346" s="32"/>
      <c r="D346" s="33"/>
      <c r="E346" s="262"/>
      <c r="F346" s="304"/>
    </row>
    <row r="347" spans="1:9" ht="38.25" x14ac:dyDescent="0.2">
      <c r="A347" s="35"/>
      <c r="B347" s="36" t="s">
        <v>138</v>
      </c>
      <c r="C347" s="37" t="s">
        <v>87</v>
      </c>
      <c r="D347" s="38">
        <f>5*1.2</f>
        <v>6</v>
      </c>
      <c r="E347" s="263"/>
      <c r="F347" s="304">
        <f t="shared" si="20"/>
        <v>0</v>
      </c>
      <c r="H347">
        <f>(2*2.9+2.8)</f>
        <v>8.6</v>
      </c>
      <c r="I347">
        <f>9*5*0.15*0.15</f>
        <v>1.0125</v>
      </c>
    </row>
    <row r="348" spans="1:9" x14ac:dyDescent="0.2">
      <c r="A348" s="35"/>
      <c r="B348" s="39"/>
      <c r="C348" s="40"/>
      <c r="D348" s="41"/>
      <c r="E348" s="264"/>
      <c r="F348" s="304"/>
    </row>
    <row r="349" spans="1:9" x14ac:dyDescent="0.2">
      <c r="A349" s="35"/>
      <c r="B349" s="42" t="s">
        <v>86</v>
      </c>
      <c r="C349" s="40"/>
      <c r="D349" s="33"/>
      <c r="E349" s="264"/>
      <c r="F349" s="304"/>
    </row>
    <row r="350" spans="1:9" ht="14.25" x14ac:dyDescent="0.2">
      <c r="A350" s="35"/>
      <c r="B350" s="36" t="s">
        <v>139</v>
      </c>
      <c r="C350" s="37" t="s">
        <v>87</v>
      </c>
      <c r="D350" s="33">
        <f>1.3*D347</f>
        <v>7.8000000000000007</v>
      </c>
      <c r="E350" s="262"/>
      <c r="F350" s="304">
        <f t="shared" si="20"/>
        <v>0</v>
      </c>
    </row>
    <row r="351" spans="1:9" x14ac:dyDescent="0.2">
      <c r="D351" s="18"/>
      <c r="E351" s="261"/>
      <c r="F351" s="304"/>
    </row>
    <row r="352" spans="1:9" ht="67.5" customHeight="1" x14ac:dyDescent="0.2">
      <c r="B352" s="26" t="s">
        <v>140</v>
      </c>
      <c r="E352" s="259"/>
      <c r="F352" s="304"/>
    </row>
    <row r="353" spans="1:15" ht="160.5" customHeight="1" x14ac:dyDescent="0.2">
      <c r="A353" s="1" t="s">
        <v>141</v>
      </c>
      <c r="B353" s="15" t="s">
        <v>142</v>
      </c>
      <c r="D353" s="43"/>
      <c r="E353" s="259"/>
      <c r="F353" s="304"/>
    </row>
    <row r="354" spans="1:15" ht="14.25" x14ac:dyDescent="0.2">
      <c r="B354" s="44" t="s">
        <v>143</v>
      </c>
      <c r="C354" s="3" t="s">
        <v>48</v>
      </c>
      <c r="D354" s="43">
        <f>D82</f>
        <v>20</v>
      </c>
      <c r="E354" s="259"/>
      <c r="F354" s="304"/>
    </row>
    <row r="355" spans="1:15" ht="14.25" x14ac:dyDescent="0.2">
      <c r="B355" s="22" t="s">
        <v>84</v>
      </c>
      <c r="C355" s="23" t="s">
        <v>85</v>
      </c>
      <c r="D355" s="24">
        <f>SUM(D354:D354)</f>
        <v>20</v>
      </c>
      <c r="E355" s="261"/>
      <c r="F355" s="304">
        <f t="shared" si="20"/>
        <v>0</v>
      </c>
    </row>
    <row r="356" spans="1:15" ht="14.25" x14ac:dyDescent="0.2">
      <c r="B356" s="17" t="s">
        <v>86</v>
      </c>
      <c r="C356" s="3" t="s">
        <v>87</v>
      </c>
      <c r="D356" s="43">
        <f>0.05*1.3*D355</f>
        <v>1.3</v>
      </c>
      <c r="E356" s="259"/>
      <c r="F356" s="304">
        <f t="shared" si="20"/>
        <v>0</v>
      </c>
    </row>
    <row r="357" spans="1:15" x14ac:dyDescent="0.2">
      <c r="B357" s="16"/>
      <c r="E357" s="259"/>
      <c r="F357" s="304"/>
    </row>
    <row r="358" spans="1:15" ht="38.25" x14ac:dyDescent="0.2">
      <c r="B358" s="45" t="s">
        <v>144</v>
      </c>
      <c r="E358" s="259"/>
      <c r="F358" s="304"/>
    </row>
    <row r="359" spans="1:15" ht="170.25" customHeight="1" x14ac:dyDescent="0.2">
      <c r="A359" s="1" t="s">
        <v>145</v>
      </c>
      <c r="B359" s="46" t="s">
        <v>146</v>
      </c>
      <c r="C359" s="47"/>
      <c r="D359" s="48"/>
      <c r="E359" s="259"/>
      <c r="F359" s="304"/>
      <c r="M359" s="318"/>
      <c r="N359" s="3"/>
      <c r="O359" s="18"/>
    </row>
    <row r="360" spans="1:15" ht="23.25" customHeight="1" x14ac:dyDescent="0.2">
      <c r="A360" s="1" t="s">
        <v>147</v>
      </c>
      <c r="B360" s="49" t="s">
        <v>148</v>
      </c>
      <c r="C360" s="3" t="s">
        <v>48</v>
      </c>
      <c r="D360" s="50">
        <v>170</v>
      </c>
      <c r="E360" s="261"/>
      <c r="F360" s="304">
        <f t="shared" si="20"/>
        <v>0</v>
      </c>
      <c r="M360" s="318"/>
      <c r="N360" s="3"/>
      <c r="O360" s="18"/>
    </row>
    <row r="361" spans="1:15" ht="23.25" customHeight="1" x14ac:dyDescent="0.2">
      <c r="A361" s="1" t="s">
        <v>149</v>
      </c>
      <c r="B361" s="49" t="s">
        <v>150</v>
      </c>
      <c r="C361" s="3" t="s">
        <v>48</v>
      </c>
      <c r="D361" s="50">
        <v>170</v>
      </c>
      <c r="E361" s="261"/>
      <c r="F361" s="304">
        <f t="shared" si="20"/>
        <v>0</v>
      </c>
      <c r="M361" s="318"/>
      <c r="N361" s="3"/>
      <c r="O361" s="18"/>
    </row>
    <row r="362" spans="1:15" ht="14.25" x14ac:dyDescent="0.2">
      <c r="A362" s="1" t="s">
        <v>151</v>
      </c>
      <c r="B362" s="49" t="s">
        <v>152</v>
      </c>
      <c r="C362" s="3" t="s">
        <v>87</v>
      </c>
      <c r="D362" s="50">
        <f>D361*0.15</f>
        <v>25.5</v>
      </c>
      <c r="E362" s="261"/>
      <c r="F362" s="304">
        <f t="shared" si="20"/>
        <v>0</v>
      </c>
    </row>
    <row r="363" spans="1:15" ht="14.25" x14ac:dyDescent="0.2">
      <c r="B363" s="17" t="s">
        <v>86</v>
      </c>
      <c r="C363" s="3" t="s">
        <v>87</v>
      </c>
      <c r="D363" s="50">
        <f>0.05*1.3*D360+0.024*1.3*D361+D362*1.3</f>
        <v>49.503999999999998</v>
      </c>
      <c r="E363" s="261"/>
      <c r="F363" s="304">
        <f t="shared" si="20"/>
        <v>0</v>
      </c>
    </row>
    <row r="364" spans="1:15" x14ac:dyDescent="0.2">
      <c r="B364" s="17"/>
      <c r="D364" s="50"/>
      <c r="E364" s="261"/>
      <c r="F364" s="304"/>
    </row>
    <row r="365" spans="1:15" ht="144.75" customHeight="1" x14ac:dyDescent="0.2">
      <c r="A365" s="1" t="s">
        <v>153</v>
      </c>
      <c r="B365" s="46" t="s">
        <v>154</v>
      </c>
      <c r="C365" s="47"/>
      <c r="D365" s="48"/>
      <c r="E365" s="259"/>
      <c r="F365" s="304"/>
    </row>
    <row r="366" spans="1:15" ht="14.25" x14ac:dyDescent="0.2">
      <c r="A366" s="1" t="s">
        <v>155</v>
      </c>
      <c r="B366" s="49" t="s">
        <v>156</v>
      </c>
      <c r="C366" s="3" t="s">
        <v>87</v>
      </c>
      <c r="D366" s="51">
        <f>170*0.15</f>
        <v>25.5</v>
      </c>
      <c r="E366" s="261"/>
      <c r="F366" s="304">
        <f t="shared" si="20"/>
        <v>0</v>
      </c>
    </row>
    <row r="367" spans="1:15" ht="14.25" x14ac:dyDescent="0.2">
      <c r="A367" s="1" t="s">
        <v>157</v>
      </c>
      <c r="B367" s="49" t="s">
        <v>150</v>
      </c>
      <c r="C367" s="3" t="s">
        <v>48</v>
      </c>
      <c r="D367" s="51">
        <v>170</v>
      </c>
      <c r="E367" s="259"/>
      <c r="F367" s="304">
        <f t="shared" si="20"/>
        <v>0</v>
      </c>
    </row>
    <row r="368" spans="1:15" ht="14.25" x14ac:dyDescent="0.2">
      <c r="A368" s="1" t="s">
        <v>158</v>
      </c>
      <c r="B368" s="49" t="s">
        <v>152</v>
      </c>
      <c r="C368" s="3" t="s">
        <v>87</v>
      </c>
      <c r="D368" s="50">
        <f>D367*0.15</f>
        <v>25.5</v>
      </c>
      <c r="E368" s="261"/>
      <c r="F368" s="304">
        <f t="shared" si="20"/>
        <v>0</v>
      </c>
    </row>
    <row r="369" spans="1:6" ht="14.25" x14ac:dyDescent="0.2">
      <c r="B369" s="17" t="s">
        <v>86</v>
      </c>
      <c r="C369" s="3" t="s">
        <v>87</v>
      </c>
      <c r="D369" s="50">
        <f>1.3*D366+0.024*1.3*D367+1.3*D368</f>
        <v>71.603999999999999</v>
      </c>
      <c r="E369" s="261"/>
      <c r="F369" s="304">
        <f t="shared" si="20"/>
        <v>0</v>
      </c>
    </row>
    <row r="370" spans="1:6" x14ac:dyDescent="0.2">
      <c r="B370" s="52"/>
      <c r="C370" s="47"/>
      <c r="D370" s="51"/>
      <c r="E370" s="259"/>
      <c r="F370" s="304"/>
    </row>
    <row r="371" spans="1:6" ht="154.5" x14ac:dyDescent="0.2">
      <c r="A371" s="1" t="s">
        <v>159</v>
      </c>
      <c r="B371" s="46" t="s">
        <v>160</v>
      </c>
      <c r="C371" s="47"/>
      <c r="D371" s="48"/>
      <c r="E371" s="259"/>
      <c r="F371" s="304"/>
    </row>
    <row r="372" spans="1:6" ht="14.25" x14ac:dyDescent="0.2">
      <c r="A372" s="1" t="s">
        <v>161</v>
      </c>
      <c r="B372" s="49" t="s">
        <v>148</v>
      </c>
      <c r="C372" s="3" t="s">
        <v>48</v>
      </c>
      <c r="D372" s="50">
        <v>150</v>
      </c>
      <c r="E372" s="261"/>
      <c r="F372" s="304">
        <f t="shared" si="20"/>
        <v>0</v>
      </c>
    </row>
    <row r="373" spans="1:6" ht="14.25" x14ac:dyDescent="0.2">
      <c r="A373" s="1" t="s">
        <v>162</v>
      </c>
      <c r="B373" s="49" t="s">
        <v>150</v>
      </c>
      <c r="C373" s="3" t="s">
        <v>48</v>
      </c>
      <c r="D373" s="50">
        <f>150</f>
        <v>150</v>
      </c>
      <c r="E373" s="261"/>
      <c r="F373" s="304">
        <f t="shared" si="20"/>
        <v>0</v>
      </c>
    </row>
    <row r="374" spans="1:6" ht="14.25" x14ac:dyDescent="0.2">
      <c r="A374" s="1" t="s">
        <v>163</v>
      </c>
      <c r="B374" s="49" t="s">
        <v>152</v>
      </c>
      <c r="C374" s="3" t="s">
        <v>87</v>
      </c>
      <c r="D374" s="50">
        <f>D373*0.15</f>
        <v>22.5</v>
      </c>
      <c r="E374" s="261"/>
      <c r="F374" s="304">
        <f t="shared" si="20"/>
        <v>0</v>
      </c>
    </row>
    <row r="375" spans="1:6" ht="14.25" x14ac:dyDescent="0.2">
      <c r="B375" s="17" t="s">
        <v>86</v>
      </c>
      <c r="C375" s="3" t="s">
        <v>87</v>
      </c>
      <c r="D375" s="50">
        <f>0.05*1.3*D372+0.024*1.3*D373+D374*1.3</f>
        <v>43.68</v>
      </c>
      <c r="E375" s="261"/>
      <c r="F375" s="304">
        <f t="shared" si="20"/>
        <v>0</v>
      </c>
    </row>
    <row r="376" spans="1:6" x14ac:dyDescent="0.2">
      <c r="D376" s="18"/>
      <c r="E376" s="261"/>
      <c r="F376" s="304"/>
    </row>
    <row r="377" spans="1:6" ht="148.5" customHeight="1" x14ac:dyDescent="0.2">
      <c r="A377" s="1" t="s">
        <v>164</v>
      </c>
      <c r="B377" s="15" t="s">
        <v>165</v>
      </c>
      <c r="E377" s="259"/>
      <c r="F377" s="304"/>
    </row>
    <row r="378" spans="1:6" ht="14.25" x14ac:dyDescent="0.2">
      <c r="B378" s="44" t="s">
        <v>166</v>
      </c>
      <c r="C378" s="3" t="s">
        <v>48</v>
      </c>
      <c r="D378" s="43">
        <f>150</f>
        <v>150</v>
      </c>
      <c r="E378" s="259"/>
      <c r="F378" s="304"/>
    </row>
    <row r="379" spans="1:6" ht="14.25" x14ac:dyDescent="0.2">
      <c r="B379" s="22" t="s">
        <v>84</v>
      </c>
      <c r="C379" s="23" t="s">
        <v>85</v>
      </c>
      <c r="D379" s="24">
        <f>SUM(D378:D378)</f>
        <v>150</v>
      </c>
      <c r="E379" s="261"/>
      <c r="F379" s="304">
        <f t="shared" si="20"/>
        <v>0</v>
      </c>
    </row>
    <row r="380" spans="1:6" ht="14.25" x14ac:dyDescent="0.2">
      <c r="B380" s="17" t="s">
        <v>86</v>
      </c>
      <c r="C380" s="3" t="s">
        <v>87</v>
      </c>
      <c r="D380" s="43">
        <f>0.05*1.3*D379</f>
        <v>9.75</v>
      </c>
      <c r="E380" s="259"/>
      <c r="F380" s="304">
        <f t="shared" si="20"/>
        <v>0</v>
      </c>
    </row>
    <row r="381" spans="1:6" x14ac:dyDescent="0.2">
      <c r="B381" s="44"/>
      <c r="E381" s="259"/>
      <c r="F381" s="304"/>
    </row>
    <row r="382" spans="1:6" x14ac:dyDescent="0.2">
      <c r="B382" s="44"/>
      <c r="E382" s="259"/>
      <c r="F382" s="304"/>
    </row>
    <row r="383" spans="1:6" x14ac:dyDescent="0.2">
      <c r="B383" s="44"/>
      <c r="E383" s="259"/>
      <c r="F383" s="304"/>
    </row>
    <row r="384" spans="1:6" ht="103.5" x14ac:dyDescent="0.2">
      <c r="A384" s="1" t="s">
        <v>167</v>
      </c>
      <c r="B384" s="46" t="s">
        <v>168</v>
      </c>
      <c r="C384" s="47"/>
      <c r="D384" s="48"/>
      <c r="E384" s="259"/>
      <c r="F384" s="304"/>
    </row>
    <row r="385" spans="1:6" ht="14.25" x14ac:dyDescent="0.2">
      <c r="A385" s="1" t="s">
        <v>169</v>
      </c>
      <c r="B385" s="49" t="s">
        <v>170</v>
      </c>
      <c r="C385" s="3" t="s">
        <v>48</v>
      </c>
      <c r="D385" s="51">
        <f>D378</f>
        <v>150</v>
      </c>
      <c r="E385" s="259"/>
      <c r="F385" s="304">
        <f t="shared" si="20"/>
        <v>0</v>
      </c>
    </row>
    <row r="386" spans="1:6" ht="14.25" x14ac:dyDescent="0.2">
      <c r="A386" s="1" t="s">
        <v>171</v>
      </c>
      <c r="B386" s="49" t="s">
        <v>172</v>
      </c>
      <c r="C386" s="3" t="s">
        <v>48</v>
      </c>
      <c r="D386" s="51">
        <f>D378</f>
        <v>150</v>
      </c>
      <c r="E386" s="259"/>
      <c r="F386" s="304">
        <f t="shared" si="20"/>
        <v>0</v>
      </c>
    </row>
    <row r="387" spans="1:6" ht="14.25" x14ac:dyDescent="0.2">
      <c r="B387" s="17" t="s">
        <v>86</v>
      </c>
      <c r="C387" s="3" t="s">
        <v>87</v>
      </c>
      <c r="D387" s="50">
        <f>0.024*1.3*(D385+D386)</f>
        <v>9.3600000000000012</v>
      </c>
      <c r="E387" s="261"/>
      <c r="F387" s="304">
        <f t="shared" si="20"/>
        <v>0</v>
      </c>
    </row>
    <row r="388" spans="1:6" x14ac:dyDescent="0.2">
      <c r="B388" s="17"/>
      <c r="D388" s="50"/>
      <c r="E388" s="261"/>
      <c r="F388" s="304"/>
    </row>
    <row r="389" spans="1:6" ht="116.25" x14ac:dyDescent="0.2">
      <c r="A389" s="1" t="s">
        <v>173</v>
      </c>
      <c r="B389" s="46" t="s">
        <v>174</v>
      </c>
      <c r="C389" s="47"/>
      <c r="D389" s="48"/>
      <c r="E389" s="259"/>
      <c r="F389" s="304"/>
    </row>
    <row r="390" spans="1:6" ht="14.25" x14ac:dyDescent="0.2">
      <c r="B390" s="49" t="s">
        <v>152</v>
      </c>
      <c r="C390" s="3" t="s">
        <v>87</v>
      </c>
      <c r="D390" s="51">
        <f>D378*0.15</f>
        <v>22.5</v>
      </c>
      <c r="E390" s="261"/>
      <c r="F390" s="304">
        <f t="shared" si="20"/>
        <v>0</v>
      </c>
    </row>
    <row r="391" spans="1:6" ht="14.25" x14ac:dyDescent="0.2">
      <c r="B391" s="17" t="s">
        <v>86</v>
      </c>
      <c r="C391" s="3" t="s">
        <v>87</v>
      </c>
      <c r="D391" s="50">
        <f>1.3*D390</f>
        <v>29.25</v>
      </c>
      <c r="E391" s="261"/>
      <c r="F391" s="304">
        <f t="shared" si="20"/>
        <v>0</v>
      </c>
    </row>
    <row r="392" spans="1:6" x14ac:dyDescent="0.2">
      <c r="B392" s="16"/>
      <c r="E392" s="259"/>
      <c r="F392" s="304"/>
    </row>
    <row r="393" spans="1:6" ht="174.75" customHeight="1" x14ac:dyDescent="0.2">
      <c r="A393" s="1" t="s">
        <v>175</v>
      </c>
      <c r="B393" s="46" t="s">
        <v>176</v>
      </c>
      <c r="C393" s="47"/>
      <c r="D393" s="43"/>
      <c r="E393" s="259"/>
      <c r="F393" s="304"/>
    </row>
    <row r="394" spans="1:6" ht="14.25" x14ac:dyDescent="0.2">
      <c r="A394" s="1" t="s">
        <v>177</v>
      </c>
      <c r="B394" s="44" t="s">
        <v>178</v>
      </c>
      <c r="C394" s="3" t="s">
        <v>87</v>
      </c>
      <c r="D394" s="43">
        <f>D378*0.05</f>
        <v>7.5</v>
      </c>
      <c r="E394" s="259"/>
      <c r="F394" s="304">
        <f t="shared" si="20"/>
        <v>0</v>
      </c>
    </row>
    <row r="395" spans="1:6" ht="14.25" x14ac:dyDescent="0.2">
      <c r="A395" s="1" t="s">
        <v>179</v>
      </c>
      <c r="B395" s="53" t="s">
        <v>180</v>
      </c>
      <c r="C395" s="3" t="s">
        <v>87</v>
      </c>
      <c r="D395" s="43">
        <f>D378*0.06</f>
        <v>9</v>
      </c>
      <c r="E395" s="259"/>
      <c r="F395" s="304">
        <f t="shared" si="20"/>
        <v>0</v>
      </c>
    </row>
    <row r="396" spans="1:6" ht="14.25" x14ac:dyDescent="0.2">
      <c r="B396" s="17" t="s">
        <v>86</v>
      </c>
      <c r="C396" s="3" t="s">
        <v>87</v>
      </c>
      <c r="D396" s="50">
        <f>1.3*(D395+D394)</f>
        <v>21.45</v>
      </c>
      <c r="E396" s="261"/>
      <c r="F396" s="304">
        <f t="shared" si="20"/>
        <v>0</v>
      </c>
    </row>
    <row r="397" spans="1:6" x14ac:dyDescent="0.2">
      <c r="D397" s="18"/>
      <c r="E397" s="261"/>
      <c r="F397" s="304"/>
    </row>
    <row r="398" spans="1:6" x14ac:dyDescent="0.2">
      <c r="B398" s="26" t="s">
        <v>181</v>
      </c>
      <c r="E398" s="259"/>
      <c r="F398" s="304"/>
    </row>
    <row r="399" spans="1:6" ht="69.75" customHeight="1" x14ac:dyDescent="0.2">
      <c r="A399" s="1" t="s">
        <v>182</v>
      </c>
      <c r="B399" s="15" t="s">
        <v>183</v>
      </c>
      <c r="E399" s="259"/>
      <c r="F399" s="304"/>
    </row>
    <row r="400" spans="1:6" ht="14.25" x14ac:dyDescent="0.2">
      <c r="A400" s="1" t="s">
        <v>184</v>
      </c>
      <c r="B400" s="20" t="s">
        <v>185</v>
      </c>
      <c r="C400" s="3" t="s">
        <v>48</v>
      </c>
      <c r="D400" s="54">
        <f>17*17.35</f>
        <v>294.95000000000005</v>
      </c>
      <c r="E400" s="261"/>
      <c r="F400" s="304"/>
    </row>
    <row r="401" spans="1:6" x14ac:dyDescent="0.2">
      <c r="B401" s="20"/>
      <c r="D401" s="18"/>
      <c r="E401" s="261"/>
      <c r="F401" s="304"/>
    </row>
    <row r="402" spans="1:6" x14ac:dyDescent="0.2">
      <c r="B402" s="22" t="s">
        <v>186</v>
      </c>
      <c r="D402" s="18"/>
      <c r="E402" s="261"/>
      <c r="F402" s="304"/>
    </row>
    <row r="403" spans="1:6" ht="80.25" customHeight="1" x14ac:dyDescent="0.2">
      <c r="A403" s="1" t="s">
        <v>187</v>
      </c>
      <c r="B403" s="20" t="s">
        <v>188</v>
      </c>
      <c r="C403" s="3" t="s">
        <v>48</v>
      </c>
      <c r="D403" s="18">
        <f>0.1*380</f>
        <v>38</v>
      </c>
      <c r="E403" s="261"/>
      <c r="F403" s="304"/>
    </row>
    <row r="404" spans="1:6" ht="76.5" x14ac:dyDescent="0.2">
      <c r="A404" s="1" t="s">
        <v>189</v>
      </c>
      <c r="B404" s="20" t="s">
        <v>190</v>
      </c>
      <c r="C404" s="3" t="s">
        <v>48</v>
      </c>
      <c r="D404" s="18">
        <f>0.1*380</f>
        <v>38</v>
      </c>
      <c r="E404" s="261"/>
      <c r="F404" s="304"/>
    </row>
    <row r="405" spans="1:6" ht="76.5" x14ac:dyDescent="0.2">
      <c r="A405" s="1" t="s">
        <v>191</v>
      </c>
      <c r="B405" s="20" t="s">
        <v>192</v>
      </c>
      <c r="C405" s="3" t="s">
        <v>48</v>
      </c>
      <c r="D405" s="18">
        <f>0.1*380</f>
        <v>38</v>
      </c>
      <c r="E405" s="261"/>
      <c r="F405" s="304"/>
    </row>
    <row r="406" spans="1:6" ht="76.5" x14ac:dyDescent="0.2">
      <c r="A406" s="1" t="s">
        <v>193</v>
      </c>
      <c r="B406" s="20" t="s">
        <v>194</v>
      </c>
      <c r="C406" s="3" t="s">
        <v>48</v>
      </c>
      <c r="D406" s="18">
        <f>0.1*380</f>
        <v>38</v>
      </c>
      <c r="E406" s="261"/>
      <c r="F406" s="304"/>
    </row>
    <row r="407" spans="1:6" ht="18" customHeight="1" x14ac:dyDescent="0.2">
      <c r="B407" s="22" t="s">
        <v>84</v>
      </c>
      <c r="C407" s="23" t="s">
        <v>85</v>
      </c>
      <c r="D407" s="24">
        <f>SUM(D400:D406)</f>
        <v>446.95000000000005</v>
      </c>
      <c r="E407" s="261"/>
      <c r="F407" s="304">
        <f t="shared" ref="F407:F450" si="21">ROUND(D407*E407,2)</f>
        <v>0</v>
      </c>
    </row>
    <row r="408" spans="1:6" ht="14.25" x14ac:dyDescent="0.2">
      <c r="B408" s="17" t="s">
        <v>86</v>
      </c>
      <c r="C408" s="3" t="s">
        <v>87</v>
      </c>
      <c r="D408" s="18">
        <f>0.05*1.3*D407</f>
        <v>29.051750000000006</v>
      </c>
      <c r="E408" s="261"/>
      <c r="F408" s="304">
        <f t="shared" si="21"/>
        <v>0</v>
      </c>
    </row>
    <row r="409" spans="1:6" x14ac:dyDescent="0.2">
      <c r="B409" s="20"/>
      <c r="E409" s="259"/>
      <c r="F409" s="304"/>
    </row>
    <row r="410" spans="1:6" ht="65.25" x14ac:dyDescent="0.2">
      <c r="A410" s="1" t="s">
        <v>195</v>
      </c>
      <c r="B410" s="27" t="s">
        <v>115</v>
      </c>
      <c r="D410" s="18"/>
      <c r="E410" s="261"/>
      <c r="F410" s="304"/>
    </row>
    <row r="411" spans="1:6" ht="14.25" x14ac:dyDescent="0.2">
      <c r="A411" s="1" t="s">
        <v>196</v>
      </c>
      <c r="B411" s="20" t="s">
        <v>185</v>
      </c>
      <c r="C411" s="3" t="s">
        <v>48</v>
      </c>
      <c r="D411" s="54">
        <f>17*17.35</f>
        <v>294.95000000000005</v>
      </c>
      <c r="E411" s="261"/>
      <c r="F411" s="304">
        <f t="shared" si="21"/>
        <v>0</v>
      </c>
    </row>
    <row r="412" spans="1:6" x14ac:dyDescent="0.2">
      <c r="B412" s="20"/>
      <c r="D412" s="18"/>
      <c r="E412" s="261"/>
      <c r="F412" s="304"/>
    </row>
    <row r="413" spans="1:6" x14ac:dyDescent="0.2">
      <c r="B413" s="22" t="s">
        <v>186</v>
      </c>
      <c r="D413" s="18"/>
      <c r="E413" s="261"/>
      <c r="F413" s="304"/>
    </row>
    <row r="414" spans="1:6" ht="76.5" x14ac:dyDescent="0.2">
      <c r="A414" s="1" t="s">
        <v>197</v>
      </c>
      <c r="B414" s="20" t="s">
        <v>188</v>
      </c>
      <c r="C414" s="3" t="s">
        <v>48</v>
      </c>
      <c r="D414" s="18">
        <f>0.1*380</f>
        <v>38</v>
      </c>
      <c r="E414" s="261"/>
      <c r="F414" s="304">
        <f t="shared" si="21"/>
        <v>0</v>
      </c>
    </row>
    <row r="415" spans="1:6" ht="76.5" x14ac:dyDescent="0.2">
      <c r="A415" s="1" t="s">
        <v>198</v>
      </c>
      <c r="B415" s="20" t="s">
        <v>190</v>
      </c>
      <c r="C415" s="3" t="s">
        <v>48</v>
      </c>
      <c r="D415" s="18">
        <f>0.1*380</f>
        <v>38</v>
      </c>
      <c r="E415" s="261"/>
      <c r="F415" s="304">
        <f t="shared" si="21"/>
        <v>0</v>
      </c>
    </row>
    <row r="416" spans="1:6" ht="76.5" x14ac:dyDescent="0.2">
      <c r="A416" s="1" t="s">
        <v>199</v>
      </c>
      <c r="B416" s="20" t="s">
        <v>192</v>
      </c>
      <c r="C416" s="3" t="s">
        <v>48</v>
      </c>
      <c r="D416" s="18">
        <f>0.1*380</f>
        <v>38</v>
      </c>
      <c r="E416" s="261"/>
      <c r="F416" s="304">
        <f t="shared" si="21"/>
        <v>0</v>
      </c>
    </row>
    <row r="417" spans="1:6" ht="76.5" x14ac:dyDescent="0.2">
      <c r="A417" s="1" t="s">
        <v>200</v>
      </c>
      <c r="B417" s="20" t="s">
        <v>194</v>
      </c>
      <c r="C417" s="3" t="s">
        <v>48</v>
      </c>
      <c r="D417" s="18">
        <f>0.1*380</f>
        <v>38</v>
      </c>
      <c r="E417" s="261"/>
      <c r="F417" s="304">
        <f t="shared" si="21"/>
        <v>0</v>
      </c>
    </row>
    <row r="418" spans="1:6" x14ac:dyDescent="0.2">
      <c r="B418" s="20"/>
      <c r="D418" s="18"/>
      <c r="E418" s="261"/>
      <c r="F418" s="304"/>
    </row>
    <row r="419" spans="1:6" ht="63.75" x14ac:dyDescent="0.2">
      <c r="A419" s="1" t="s">
        <v>201</v>
      </c>
      <c r="B419" s="27" t="s">
        <v>126</v>
      </c>
      <c r="D419" s="18"/>
      <c r="E419" s="261"/>
      <c r="F419" s="304"/>
    </row>
    <row r="420" spans="1:6" ht="14.25" x14ac:dyDescent="0.2">
      <c r="A420" s="1" t="s">
        <v>202</v>
      </c>
      <c r="B420" s="20" t="s">
        <v>185</v>
      </c>
      <c r="C420" s="3" t="s">
        <v>48</v>
      </c>
      <c r="D420" s="54">
        <f>17*17.35</f>
        <v>294.95000000000005</v>
      </c>
      <c r="E420" s="261"/>
      <c r="F420" s="304">
        <f t="shared" si="21"/>
        <v>0</v>
      </c>
    </row>
    <row r="421" spans="1:6" x14ac:dyDescent="0.2">
      <c r="B421" s="20"/>
      <c r="D421" s="18"/>
      <c r="E421" s="261"/>
      <c r="F421" s="304"/>
    </row>
    <row r="422" spans="1:6" x14ac:dyDescent="0.2">
      <c r="B422" s="22" t="s">
        <v>186</v>
      </c>
      <c r="D422" s="18"/>
      <c r="E422" s="261"/>
      <c r="F422" s="304"/>
    </row>
    <row r="423" spans="1:6" ht="76.5" x14ac:dyDescent="0.2">
      <c r="A423" s="1" t="s">
        <v>203</v>
      </c>
      <c r="B423" s="20" t="s">
        <v>188</v>
      </c>
      <c r="C423" s="3" t="s">
        <v>48</v>
      </c>
      <c r="D423" s="18">
        <f>0.1*380</f>
        <v>38</v>
      </c>
      <c r="E423" s="261"/>
      <c r="F423" s="304">
        <f t="shared" si="21"/>
        <v>0</v>
      </c>
    </row>
    <row r="424" spans="1:6" ht="76.5" x14ac:dyDescent="0.2">
      <c r="A424" s="1" t="s">
        <v>204</v>
      </c>
      <c r="B424" s="20" t="s">
        <v>190</v>
      </c>
      <c r="C424" s="3" t="s">
        <v>48</v>
      </c>
      <c r="D424" s="18">
        <f>0.1*380</f>
        <v>38</v>
      </c>
      <c r="E424" s="261"/>
      <c r="F424" s="304">
        <f t="shared" si="21"/>
        <v>0</v>
      </c>
    </row>
    <row r="425" spans="1:6" ht="76.5" x14ac:dyDescent="0.2">
      <c r="A425" s="1" t="s">
        <v>205</v>
      </c>
      <c r="B425" s="20" t="s">
        <v>192</v>
      </c>
      <c r="C425" s="3" t="s">
        <v>48</v>
      </c>
      <c r="D425" s="18">
        <f>0.1*380</f>
        <v>38</v>
      </c>
      <c r="E425" s="261"/>
      <c r="F425" s="304">
        <f t="shared" si="21"/>
        <v>0</v>
      </c>
    </row>
    <row r="426" spans="1:6" ht="76.5" x14ac:dyDescent="0.2">
      <c r="A426" s="1" t="s">
        <v>206</v>
      </c>
      <c r="B426" s="20" t="s">
        <v>194</v>
      </c>
      <c r="C426" s="3" t="s">
        <v>48</v>
      </c>
      <c r="D426" s="18">
        <f>0.1*380</f>
        <v>38</v>
      </c>
      <c r="E426" s="261"/>
      <c r="F426" s="304">
        <f t="shared" si="21"/>
        <v>0</v>
      </c>
    </row>
    <row r="427" spans="1:6" x14ac:dyDescent="0.2">
      <c r="E427" s="259"/>
      <c r="F427" s="304"/>
    </row>
    <row r="428" spans="1:6" ht="38.25" x14ac:dyDescent="0.2">
      <c r="B428" s="55" t="s">
        <v>207</v>
      </c>
      <c r="D428" s="54"/>
      <c r="E428" s="261"/>
      <c r="F428" s="304"/>
    </row>
    <row r="429" spans="1:6" x14ac:dyDescent="0.2">
      <c r="B429" s="20"/>
      <c r="D429" s="54"/>
      <c r="E429" s="261"/>
      <c r="F429" s="304"/>
    </row>
    <row r="430" spans="1:6" ht="38.25" x14ac:dyDescent="0.2">
      <c r="A430" s="1" t="s">
        <v>208</v>
      </c>
      <c r="B430" s="46" t="s">
        <v>209</v>
      </c>
      <c r="C430" s="47"/>
      <c r="E430" s="259"/>
      <c r="F430" s="304"/>
    </row>
    <row r="431" spans="1:6" ht="14.25" x14ac:dyDescent="0.2">
      <c r="A431" s="1" t="s">
        <v>210</v>
      </c>
      <c r="B431" s="56" t="s">
        <v>211</v>
      </c>
      <c r="C431" s="3" t="s">
        <v>87</v>
      </c>
      <c r="D431" s="43">
        <f>4*2*0.25*0.15*4</f>
        <v>1.2</v>
      </c>
      <c r="E431" s="265"/>
      <c r="F431" s="304"/>
    </row>
    <row r="432" spans="1:6" ht="14.25" x14ac:dyDescent="0.2">
      <c r="A432" s="1" t="s">
        <v>212</v>
      </c>
      <c r="B432" s="56" t="s">
        <v>213</v>
      </c>
      <c r="C432" s="3" t="s">
        <v>87</v>
      </c>
      <c r="D432" s="43">
        <f>4*2*0.25*0.15*4</f>
        <v>1.2</v>
      </c>
      <c r="E432" s="265"/>
      <c r="F432" s="304"/>
    </row>
    <row r="433" spans="1:6" ht="14.25" x14ac:dyDescent="0.2">
      <c r="A433" s="1" t="s">
        <v>214</v>
      </c>
      <c r="B433" s="56" t="s">
        <v>215</v>
      </c>
      <c r="C433" s="3" t="s">
        <v>87</v>
      </c>
      <c r="D433" s="43">
        <f>4*2*0.25*0.15*4</f>
        <v>1.2</v>
      </c>
      <c r="E433" s="265"/>
      <c r="F433" s="304"/>
    </row>
    <row r="434" spans="1:6" ht="14.25" x14ac:dyDescent="0.2">
      <c r="A434" s="1" t="s">
        <v>216</v>
      </c>
      <c r="B434" s="56" t="s">
        <v>217</v>
      </c>
      <c r="C434" s="3" t="s">
        <v>87</v>
      </c>
      <c r="D434" s="43">
        <f>4*2*0.25*0.15*4</f>
        <v>1.2</v>
      </c>
      <c r="E434" s="265"/>
      <c r="F434" s="304"/>
    </row>
    <row r="435" spans="1:6" ht="14.25" x14ac:dyDescent="0.2">
      <c r="B435" s="22" t="s">
        <v>84</v>
      </c>
      <c r="C435" s="23" t="s">
        <v>218</v>
      </c>
      <c r="D435" s="57">
        <f>SUM(D431:D434)</f>
        <v>4.8</v>
      </c>
      <c r="E435" s="261"/>
      <c r="F435" s="304">
        <f t="shared" si="21"/>
        <v>0</v>
      </c>
    </row>
    <row r="436" spans="1:6" x14ac:dyDescent="0.2">
      <c r="B436" s="58"/>
      <c r="D436" s="24"/>
      <c r="E436" s="261"/>
      <c r="F436" s="304"/>
    </row>
    <row r="437" spans="1:6" ht="14.25" x14ac:dyDescent="0.2">
      <c r="B437" s="17" t="s">
        <v>86</v>
      </c>
      <c r="C437" s="3" t="s">
        <v>87</v>
      </c>
      <c r="D437" s="18">
        <f>D435*1.3</f>
        <v>6.24</v>
      </c>
      <c r="E437" s="261"/>
      <c r="F437" s="304">
        <f t="shared" si="21"/>
        <v>0</v>
      </c>
    </row>
    <row r="438" spans="1:6" x14ac:dyDescent="0.2">
      <c r="B438" s="56"/>
      <c r="E438" s="259"/>
      <c r="F438" s="304"/>
    </row>
    <row r="439" spans="1:6" x14ac:dyDescent="0.2">
      <c r="B439" s="59" t="s">
        <v>219</v>
      </c>
      <c r="D439" s="43"/>
      <c r="E439" s="259"/>
      <c r="F439" s="304"/>
    </row>
    <row r="440" spans="1:6" ht="93.75" customHeight="1" x14ac:dyDescent="0.2">
      <c r="A440" s="1" t="s">
        <v>220</v>
      </c>
      <c r="B440" s="15" t="s">
        <v>221</v>
      </c>
      <c r="E440" s="259"/>
      <c r="F440" s="304"/>
    </row>
    <row r="441" spans="1:6" ht="25.5" x14ac:dyDescent="0.2">
      <c r="A441" s="1" t="s">
        <v>222</v>
      </c>
      <c r="B441" s="8" t="s">
        <v>47</v>
      </c>
      <c r="C441" s="3" t="s">
        <v>48</v>
      </c>
      <c r="D441" s="4">
        <f>5*(4+2.5*2.9)</f>
        <v>56.25</v>
      </c>
      <c r="E441" s="259"/>
      <c r="F441" s="304">
        <f t="shared" si="21"/>
        <v>0</v>
      </c>
    </row>
    <row r="442" spans="1:6" ht="14.25" x14ac:dyDescent="0.2">
      <c r="A442" s="1" t="s">
        <v>223</v>
      </c>
      <c r="B442" s="8" t="s">
        <v>50</v>
      </c>
      <c r="C442" s="3" t="s">
        <v>48</v>
      </c>
      <c r="D442" s="4">
        <v>20</v>
      </c>
      <c r="E442" s="259"/>
      <c r="F442" s="304">
        <f t="shared" si="21"/>
        <v>0</v>
      </c>
    </row>
    <row r="443" spans="1:6" ht="14.25" x14ac:dyDescent="0.2">
      <c r="A443" s="1" t="s">
        <v>224</v>
      </c>
      <c r="B443" s="8" t="s">
        <v>53</v>
      </c>
      <c r="C443" s="3" t="s">
        <v>48</v>
      </c>
      <c r="D443" s="4">
        <v>170</v>
      </c>
      <c r="E443" s="259"/>
      <c r="F443" s="304">
        <f t="shared" si="21"/>
        <v>0</v>
      </c>
    </row>
    <row r="444" spans="1:6" ht="14.25" x14ac:dyDescent="0.2">
      <c r="A444" s="1" t="s">
        <v>225</v>
      </c>
      <c r="B444" s="8" t="s">
        <v>55</v>
      </c>
      <c r="C444" s="3" t="s">
        <v>48</v>
      </c>
      <c r="D444" s="4">
        <v>170</v>
      </c>
      <c r="E444" s="259"/>
      <c r="F444" s="304">
        <f t="shared" si="21"/>
        <v>0</v>
      </c>
    </row>
    <row r="445" spans="1:6" ht="14.25" x14ac:dyDescent="0.2">
      <c r="A445" s="1" t="s">
        <v>226</v>
      </c>
      <c r="B445" s="8" t="s">
        <v>57</v>
      </c>
      <c r="C445" s="3" t="s">
        <v>48</v>
      </c>
      <c r="D445" s="4">
        <v>150</v>
      </c>
      <c r="E445" s="259"/>
      <c r="F445" s="304">
        <f t="shared" si="21"/>
        <v>0</v>
      </c>
    </row>
    <row r="446" spans="1:6" x14ac:dyDescent="0.2">
      <c r="B446" s="16"/>
      <c r="E446" s="259"/>
      <c r="F446" s="304"/>
    </row>
    <row r="447" spans="1:6" ht="38.25" x14ac:dyDescent="0.2">
      <c r="A447" s="1">
        <v>25</v>
      </c>
      <c r="B447" s="60" t="s">
        <v>227</v>
      </c>
      <c r="D447" s="18"/>
      <c r="E447" s="261"/>
      <c r="F447" s="304">
        <f t="shared" si="21"/>
        <v>0</v>
      </c>
    </row>
    <row r="448" spans="1:6" x14ac:dyDescent="0.2">
      <c r="B448" s="53"/>
      <c r="C448" s="3" t="s">
        <v>90</v>
      </c>
      <c r="D448" s="18">
        <v>2</v>
      </c>
      <c r="E448" s="261"/>
      <c r="F448" s="304">
        <f t="shared" si="21"/>
        <v>0</v>
      </c>
    </row>
    <row r="449" spans="1:6" x14ac:dyDescent="0.2">
      <c r="B449" s="61"/>
      <c r="D449" s="18"/>
      <c r="E449" s="261"/>
      <c r="F449" s="304">
        <f t="shared" si="21"/>
        <v>0</v>
      </c>
    </row>
    <row r="450" spans="1:6" x14ac:dyDescent="0.2">
      <c r="A450" s="1" t="s">
        <v>228</v>
      </c>
      <c r="B450" s="60" t="s">
        <v>229</v>
      </c>
      <c r="D450" s="18"/>
      <c r="E450" s="261"/>
      <c r="F450" s="304">
        <f t="shared" si="21"/>
        <v>0</v>
      </c>
    </row>
    <row r="451" spans="1:6" x14ac:dyDescent="0.2">
      <c r="B451" s="53"/>
      <c r="C451" s="3" t="s">
        <v>90</v>
      </c>
      <c r="D451" s="18">
        <v>2</v>
      </c>
      <c r="E451" s="261"/>
      <c r="F451" s="304">
        <f>ROUND(D451*E451,2)</f>
        <v>0</v>
      </c>
    </row>
    <row r="452" spans="1:6" x14ac:dyDescent="0.2">
      <c r="B452" s="16"/>
      <c r="E452" s="259"/>
    </row>
    <row r="453" spans="1:6" x14ac:dyDescent="0.2">
      <c r="B453" s="53"/>
      <c r="E453" s="259"/>
    </row>
    <row r="454" spans="1:6" x14ac:dyDescent="0.2">
      <c r="A454" s="63"/>
      <c r="B454" s="322" t="s">
        <v>230</v>
      </c>
      <c r="C454" s="323"/>
      <c r="D454" s="65"/>
      <c r="E454" s="266"/>
      <c r="F454" s="306">
        <f>ROUND(SUM(F12:F451),2)</f>
        <v>0</v>
      </c>
    </row>
    <row r="455" spans="1:6" x14ac:dyDescent="0.2">
      <c r="B455" s="66"/>
      <c r="C455" s="67"/>
      <c r="E455" s="259"/>
    </row>
    <row r="456" spans="1:6" x14ac:dyDescent="0.2">
      <c r="B456" s="67"/>
      <c r="C456" s="67"/>
      <c r="E456" s="259"/>
    </row>
    <row r="457" spans="1:6" x14ac:dyDescent="0.2">
      <c r="B457" s="67"/>
      <c r="C457" s="67"/>
      <c r="E457" s="259"/>
    </row>
    <row r="458" spans="1:6" x14ac:dyDescent="0.2">
      <c r="B458" s="67"/>
      <c r="C458" s="67"/>
      <c r="E458" s="259"/>
    </row>
    <row r="459" spans="1:6" x14ac:dyDescent="0.2">
      <c r="B459" s="67"/>
      <c r="C459" s="67"/>
      <c r="E459" s="259"/>
    </row>
    <row r="460" spans="1:6" x14ac:dyDescent="0.2">
      <c r="B460" s="67"/>
      <c r="C460" s="67"/>
      <c r="E460" s="259"/>
    </row>
    <row r="461" spans="1:6" x14ac:dyDescent="0.2">
      <c r="B461" s="67"/>
      <c r="C461" s="67"/>
      <c r="E461" s="259"/>
    </row>
    <row r="462" spans="1:6" x14ac:dyDescent="0.2">
      <c r="B462" s="67"/>
      <c r="C462" s="67"/>
      <c r="E462" s="259"/>
    </row>
    <row r="463" spans="1:6" x14ac:dyDescent="0.2">
      <c r="B463" s="67"/>
      <c r="C463" s="67"/>
      <c r="E463" s="259"/>
    </row>
    <row r="464" spans="1:6" x14ac:dyDescent="0.2">
      <c r="B464" s="67"/>
      <c r="C464" s="67"/>
      <c r="E464" s="259"/>
    </row>
    <row r="465" spans="1:6" x14ac:dyDescent="0.2">
      <c r="B465" s="67"/>
      <c r="C465" s="67"/>
      <c r="E465" s="259"/>
    </row>
    <row r="466" spans="1:6" x14ac:dyDescent="0.2">
      <c r="B466" s="67"/>
      <c r="C466" s="67"/>
      <c r="E466" s="259"/>
    </row>
    <row r="467" spans="1:6" x14ac:dyDescent="0.2">
      <c r="B467" s="67"/>
      <c r="C467" s="67"/>
      <c r="E467" s="259"/>
    </row>
    <row r="468" spans="1:6" x14ac:dyDescent="0.2">
      <c r="B468" s="67"/>
      <c r="C468" s="67"/>
      <c r="E468" s="259"/>
    </row>
    <row r="469" spans="1:6" x14ac:dyDescent="0.2">
      <c r="B469" s="67"/>
      <c r="C469" s="67"/>
      <c r="E469" s="259"/>
    </row>
    <row r="470" spans="1:6" x14ac:dyDescent="0.2">
      <c r="B470" s="67"/>
      <c r="C470" s="67"/>
      <c r="E470" s="259"/>
    </row>
    <row r="471" spans="1:6" x14ac:dyDescent="0.2">
      <c r="B471" s="67"/>
      <c r="C471" s="67"/>
      <c r="E471" s="259"/>
    </row>
    <row r="472" spans="1:6" x14ac:dyDescent="0.2">
      <c r="B472" s="67"/>
      <c r="C472" s="67"/>
      <c r="E472" s="259"/>
    </row>
    <row r="473" spans="1:6" x14ac:dyDescent="0.2">
      <c r="B473" s="67"/>
      <c r="C473" s="67"/>
      <c r="E473" s="259"/>
    </row>
    <row r="474" spans="1:6" x14ac:dyDescent="0.2">
      <c r="B474" s="67"/>
      <c r="C474" s="67"/>
      <c r="E474" s="259"/>
    </row>
    <row r="475" spans="1:6" x14ac:dyDescent="0.2">
      <c r="B475" s="67"/>
      <c r="C475" s="67"/>
      <c r="E475" s="259"/>
    </row>
    <row r="476" spans="1:6" x14ac:dyDescent="0.2">
      <c r="B476" s="67"/>
      <c r="C476" s="67"/>
      <c r="E476" s="259"/>
    </row>
    <row r="477" spans="1:6" x14ac:dyDescent="0.2">
      <c r="B477" s="67"/>
      <c r="C477" s="67"/>
      <c r="E477" s="259"/>
    </row>
    <row r="478" spans="1:6" x14ac:dyDescent="0.2">
      <c r="B478" s="67"/>
      <c r="C478" s="67"/>
      <c r="E478" s="259"/>
    </row>
    <row r="479" spans="1:6" x14ac:dyDescent="0.2">
      <c r="A479" s="9" t="s">
        <v>231</v>
      </c>
      <c r="B479" s="68" t="s">
        <v>232</v>
      </c>
      <c r="C479" s="11" t="s">
        <v>6</v>
      </c>
      <c r="D479" s="12" t="s">
        <v>7</v>
      </c>
      <c r="E479" s="267" t="s">
        <v>8</v>
      </c>
      <c r="F479" s="302" t="s">
        <v>9</v>
      </c>
    </row>
    <row r="480" spans="1:6" ht="63.75" x14ac:dyDescent="0.2">
      <c r="A480" s="1" t="s">
        <v>11</v>
      </c>
      <c r="B480" s="15" t="s">
        <v>233</v>
      </c>
      <c r="E480" s="259"/>
    </row>
    <row r="481" spans="1:6" x14ac:dyDescent="0.2">
      <c r="B481" s="16"/>
      <c r="C481" s="3" t="s">
        <v>14</v>
      </c>
      <c r="D481" s="4">
        <v>1</v>
      </c>
      <c r="E481" s="259"/>
      <c r="F481" s="304">
        <f>ROUND(D481*E481,2)</f>
        <v>0</v>
      </c>
    </row>
    <row r="482" spans="1:6" ht="273" customHeight="1" x14ac:dyDescent="0.2">
      <c r="A482" s="1" t="s">
        <v>31</v>
      </c>
      <c r="B482" s="15" t="s">
        <v>234</v>
      </c>
      <c r="E482" s="259"/>
      <c r="F482" s="304"/>
    </row>
    <row r="483" spans="1:6" ht="14.25" x14ac:dyDescent="0.2">
      <c r="B483" s="53"/>
      <c r="C483" s="3" t="s">
        <v>48</v>
      </c>
      <c r="D483" s="4">
        <f>17*5</f>
        <v>85</v>
      </c>
      <c r="E483" s="259"/>
      <c r="F483" s="304">
        <f t="shared" ref="F483:F506" si="22">ROUND(D483*E483,2)</f>
        <v>0</v>
      </c>
    </row>
    <row r="484" spans="1:6" x14ac:dyDescent="0.2">
      <c r="B484" s="53"/>
      <c r="E484" s="259"/>
      <c r="F484" s="304"/>
    </row>
    <row r="485" spans="1:6" ht="409.6" customHeight="1" x14ac:dyDescent="0.2">
      <c r="A485" s="1" t="s">
        <v>44</v>
      </c>
      <c r="B485" s="15" t="s">
        <v>235</v>
      </c>
      <c r="E485" s="259"/>
      <c r="F485" s="304"/>
    </row>
    <row r="486" spans="1:6" ht="42" customHeight="1" x14ac:dyDescent="0.2">
      <c r="A486" s="1" t="s">
        <v>46</v>
      </c>
      <c r="B486" s="69" t="s">
        <v>236</v>
      </c>
      <c r="C486" s="3" t="s">
        <v>48</v>
      </c>
      <c r="D486" s="4">
        <f>3*2.5*8</f>
        <v>60</v>
      </c>
      <c r="E486" s="259"/>
      <c r="F486" s="304">
        <f t="shared" si="22"/>
        <v>0</v>
      </c>
    </row>
    <row r="487" spans="1:6" ht="14.25" x14ac:dyDescent="0.2">
      <c r="A487" s="1" t="s">
        <v>49</v>
      </c>
      <c r="B487" s="69" t="s">
        <v>237</v>
      </c>
      <c r="C487" s="3" t="s">
        <v>48</v>
      </c>
      <c r="D487" s="4">
        <f>16*2*6.6</f>
        <v>211.2</v>
      </c>
      <c r="E487" s="259"/>
      <c r="F487" s="304">
        <f t="shared" si="22"/>
        <v>0</v>
      </c>
    </row>
    <row r="488" spans="1:6" ht="14.25" x14ac:dyDescent="0.2">
      <c r="A488" s="1" t="s">
        <v>238</v>
      </c>
      <c r="B488" s="28" t="s">
        <v>98</v>
      </c>
      <c r="C488" s="3" t="s">
        <v>48</v>
      </c>
      <c r="D488" s="18">
        <f>17.35*6.65</f>
        <v>115.37750000000001</v>
      </c>
      <c r="E488" s="259"/>
      <c r="F488" s="304">
        <f t="shared" si="22"/>
        <v>0</v>
      </c>
    </row>
    <row r="489" spans="1:6" ht="14.25" x14ac:dyDescent="0.2">
      <c r="A489" s="1" t="s">
        <v>239</v>
      </c>
      <c r="B489" s="28" t="s">
        <v>100</v>
      </c>
      <c r="C489" s="3" t="s">
        <v>48</v>
      </c>
      <c r="D489" s="18">
        <f>17.35*4</f>
        <v>69.400000000000006</v>
      </c>
      <c r="E489" s="259"/>
      <c r="F489" s="304">
        <f t="shared" si="22"/>
        <v>0</v>
      </c>
    </row>
    <row r="490" spans="1:6" ht="14.25" x14ac:dyDescent="0.2">
      <c r="A490" s="1" t="s">
        <v>240</v>
      </c>
      <c r="B490" s="28" t="s">
        <v>102</v>
      </c>
      <c r="C490" s="3" t="s">
        <v>48</v>
      </c>
      <c r="D490" s="18">
        <f>14.15*6.65</f>
        <v>94.097500000000011</v>
      </c>
      <c r="E490" s="259"/>
      <c r="F490" s="304">
        <f t="shared" si="22"/>
        <v>0</v>
      </c>
    </row>
    <row r="491" spans="1:6" ht="14.25" x14ac:dyDescent="0.2">
      <c r="A491" s="1" t="s">
        <v>241</v>
      </c>
      <c r="B491" s="28" t="s">
        <v>98</v>
      </c>
      <c r="C491" s="3" t="s">
        <v>48</v>
      </c>
      <c r="D491" s="18">
        <f>17.35*6.65</f>
        <v>115.37750000000001</v>
      </c>
      <c r="E491" s="259"/>
      <c r="F491" s="304">
        <f t="shared" si="22"/>
        <v>0</v>
      </c>
    </row>
    <row r="492" spans="1:6" ht="14.25" x14ac:dyDescent="0.2">
      <c r="A492" s="1" t="s">
        <v>242</v>
      </c>
      <c r="B492" s="28" t="s">
        <v>106</v>
      </c>
      <c r="C492" s="3" t="s">
        <v>48</v>
      </c>
      <c r="D492" s="18">
        <f>17.35*4</f>
        <v>69.400000000000006</v>
      </c>
      <c r="E492" s="259"/>
      <c r="F492" s="304">
        <f t="shared" si="22"/>
        <v>0</v>
      </c>
    </row>
    <row r="493" spans="1:6" ht="14.25" x14ac:dyDescent="0.2">
      <c r="A493" s="1" t="s">
        <v>243</v>
      </c>
      <c r="B493" s="28" t="s">
        <v>102</v>
      </c>
      <c r="C493" s="3" t="s">
        <v>48</v>
      </c>
      <c r="D493" s="18">
        <f>14.15*6.65</f>
        <v>94.097500000000011</v>
      </c>
      <c r="E493" s="259"/>
      <c r="F493" s="304">
        <f t="shared" si="22"/>
        <v>0</v>
      </c>
    </row>
    <row r="494" spans="1:6" ht="14.25" x14ac:dyDescent="0.2">
      <c r="A494" s="1" t="s">
        <v>244</v>
      </c>
      <c r="B494" s="20" t="s">
        <v>245</v>
      </c>
      <c r="C494" s="3" t="s">
        <v>48</v>
      </c>
      <c r="D494" s="54">
        <f>17*17.35</f>
        <v>294.95000000000005</v>
      </c>
      <c r="E494" s="259"/>
      <c r="F494" s="304">
        <f t="shared" si="22"/>
        <v>0</v>
      </c>
    </row>
    <row r="495" spans="1:6" x14ac:dyDescent="0.2">
      <c r="B495" s="69"/>
      <c r="E495" s="259"/>
      <c r="F495" s="304"/>
    </row>
    <row r="496" spans="1:6" ht="67.5" customHeight="1" x14ac:dyDescent="0.2">
      <c r="A496" s="1" t="s">
        <v>246</v>
      </c>
      <c r="B496" s="15" t="s">
        <v>247</v>
      </c>
      <c r="E496" s="259"/>
      <c r="F496" s="304"/>
    </row>
    <row r="497" spans="1:6" x14ac:dyDescent="0.2">
      <c r="B497" s="53"/>
      <c r="C497" s="3" t="s">
        <v>90</v>
      </c>
      <c r="D497" s="4">
        <v>140</v>
      </c>
      <c r="E497" s="259"/>
      <c r="F497" s="304">
        <f>ROUND(D497*E497,2)</f>
        <v>0</v>
      </c>
    </row>
    <row r="498" spans="1:6" x14ac:dyDescent="0.2">
      <c r="B498" s="53"/>
      <c r="E498" s="259"/>
      <c r="F498" s="304"/>
    </row>
    <row r="499" spans="1:6" x14ac:dyDescent="0.2">
      <c r="B499" s="53"/>
      <c r="E499" s="259"/>
      <c r="F499" s="304"/>
    </row>
    <row r="500" spans="1:6" x14ac:dyDescent="0.2">
      <c r="B500" s="53"/>
      <c r="E500" s="259"/>
      <c r="F500" s="304"/>
    </row>
    <row r="501" spans="1:6" x14ac:dyDescent="0.2">
      <c r="B501" s="53"/>
      <c r="E501" s="259"/>
      <c r="F501" s="304"/>
    </row>
    <row r="502" spans="1:6" x14ac:dyDescent="0.2">
      <c r="B502" s="53"/>
      <c r="E502" s="259"/>
      <c r="F502" s="304"/>
    </row>
    <row r="503" spans="1:6" x14ac:dyDescent="0.2">
      <c r="B503" s="53"/>
      <c r="E503" s="259"/>
      <c r="F503" s="304"/>
    </row>
    <row r="504" spans="1:6" x14ac:dyDescent="0.2">
      <c r="B504" s="53"/>
      <c r="E504" s="259"/>
      <c r="F504" s="304"/>
    </row>
    <row r="505" spans="1:6" ht="38.25" x14ac:dyDescent="0.2">
      <c r="A505" s="1" t="s">
        <v>59</v>
      </c>
      <c r="B505" s="70" t="s">
        <v>248</v>
      </c>
      <c r="D505" s="71"/>
      <c r="E505" s="261"/>
      <c r="F505" s="304"/>
    </row>
    <row r="506" spans="1:6" ht="25.5" x14ac:dyDescent="0.2">
      <c r="B506" s="72" t="s">
        <v>249</v>
      </c>
      <c r="C506" s="3" t="s">
        <v>48</v>
      </c>
      <c r="D506" s="71">
        <f>4*5*2.5</f>
        <v>50</v>
      </c>
      <c r="E506" s="261"/>
      <c r="F506" s="304">
        <f t="shared" si="22"/>
        <v>0</v>
      </c>
    </row>
    <row r="507" spans="1:6" x14ac:dyDescent="0.2">
      <c r="B507" s="53"/>
      <c r="E507" s="259"/>
    </row>
    <row r="508" spans="1:6" x14ac:dyDescent="0.2">
      <c r="B508" s="53"/>
      <c r="E508" s="259"/>
    </row>
    <row r="509" spans="1:6" x14ac:dyDescent="0.2">
      <c r="A509" s="63"/>
      <c r="B509" s="64" t="s">
        <v>250</v>
      </c>
      <c r="C509" s="73"/>
      <c r="D509" s="65"/>
      <c r="E509" s="266"/>
      <c r="F509" s="320">
        <f>ROUND(SUM(F481:F506),2)</f>
        <v>0</v>
      </c>
    </row>
    <row r="510" spans="1:6" x14ac:dyDescent="0.2">
      <c r="B510" s="16"/>
      <c r="E510" s="259"/>
      <c r="F510" s="307"/>
    </row>
    <row r="511" spans="1:6" x14ac:dyDescent="0.2">
      <c r="B511" s="16"/>
      <c r="E511" s="259"/>
      <c r="F511" s="307"/>
    </row>
    <row r="512" spans="1:6" x14ac:dyDescent="0.2">
      <c r="B512" s="16"/>
      <c r="E512" s="259"/>
      <c r="F512" s="307"/>
    </row>
    <row r="513" spans="2:6" x14ac:dyDescent="0.2">
      <c r="B513" s="16"/>
      <c r="E513" s="259"/>
      <c r="F513" s="307"/>
    </row>
    <row r="514" spans="2:6" x14ac:dyDescent="0.2">
      <c r="B514" s="16"/>
      <c r="E514" s="259"/>
      <c r="F514" s="307"/>
    </row>
    <row r="515" spans="2:6" x14ac:dyDescent="0.2">
      <c r="B515" s="16"/>
      <c r="E515" s="259"/>
      <c r="F515" s="307"/>
    </row>
    <row r="516" spans="2:6" x14ac:dyDescent="0.2">
      <c r="B516" s="16"/>
      <c r="E516" s="259"/>
      <c r="F516" s="307"/>
    </row>
    <row r="517" spans="2:6" x14ac:dyDescent="0.2">
      <c r="B517" s="16"/>
      <c r="E517" s="259"/>
      <c r="F517" s="307"/>
    </row>
    <row r="518" spans="2:6" x14ac:dyDescent="0.2">
      <c r="B518" s="16"/>
      <c r="E518" s="259"/>
      <c r="F518" s="307"/>
    </row>
    <row r="519" spans="2:6" x14ac:dyDescent="0.2">
      <c r="B519" s="16"/>
      <c r="E519" s="259"/>
      <c r="F519" s="307"/>
    </row>
    <row r="520" spans="2:6" x14ac:dyDescent="0.2">
      <c r="B520" s="16"/>
      <c r="E520" s="259"/>
      <c r="F520" s="307"/>
    </row>
    <row r="521" spans="2:6" x14ac:dyDescent="0.2">
      <c r="B521" s="16"/>
      <c r="E521" s="259"/>
      <c r="F521" s="307"/>
    </row>
    <row r="522" spans="2:6" x14ac:dyDescent="0.2">
      <c r="B522" s="16"/>
      <c r="E522" s="259"/>
      <c r="F522" s="307"/>
    </row>
    <row r="523" spans="2:6" x14ac:dyDescent="0.2">
      <c r="B523" s="16"/>
      <c r="E523" s="259"/>
      <c r="F523" s="307"/>
    </row>
    <row r="524" spans="2:6" x14ac:dyDescent="0.2">
      <c r="B524" s="16"/>
      <c r="E524" s="259"/>
      <c r="F524" s="307"/>
    </row>
    <row r="525" spans="2:6" x14ac:dyDescent="0.2">
      <c r="B525" s="16"/>
      <c r="E525" s="259"/>
      <c r="F525" s="307"/>
    </row>
    <row r="526" spans="2:6" x14ac:dyDescent="0.2">
      <c r="B526" s="16"/>
      <c r="E526" s="259"/>
      <c r="F526" s="307"/>
    </row>
    <row r="527" spans="2:6" x14ac:dyDescent="0.2">
      <c r="B527" s="16"/>
      <c r="E527" s="259"/>
      <c r="F527" s="307"/>
    </row>
    <row r="528" spans="2:6" x14ac:dyDescent="0.2">
      <c r="B528" s="16"/>
      <c r="E528" s="259"/>
      <c r="F528" s="307"/>
    </row>
    <row r="529" spans="2:6" x14ac:dyDescent="0.2">
      <c r="B529" s="16"/>
      <c r="E529" s="259"/>
      <c r="F529" s="307"/>
    </row>
    <row r="530" spans="2:6" x14ac:dyDescent="0.2">
      <c r="B530" s="16"/>
      <c r="E530" s="259"/>
      <c r="F530" s="307"/>
    </row>
    <row r="531" spans="2:6" x14ac:dyDescent="0.2">
      <c r="B531" s="16"/>
      <c r="E531" s="259"/>
      <c r="F531" s="307"/>
    </row>
    <row r="532" spans="2:6" x14ac:dyDescent="0.2">
      <c r="B532" s="16"/>
      <c r="E532" s="259"/>
      <c r="F532" s="307"/>
    </row>
    <row r="533" spans="2:6" x14ac:dyDescent="0.2">
      <c r="B533" s="16"/>
      <c r="E533" s="259"/>
      <c r="F533" s="307"/>
    </row>
    <row r="534" spans="2:6" x14ac:dyDescent="0.2">
      <c r="B534" s="16"/>
      <c r="E534" s="259"/>
      <c r="F534" s="307"/>
    </row>
    <row r="535" spans="2:6" x14ac:dyDescent="0.2">
      <c r="B535" s="16"/>
      <c r="E535" s="259"/>
      <c r="F535" s="307"/>
    </row>
    <row r="536" spans="2:6" x14ac:dyDescent="0.2">
      <c r="B536" s="16"/>
      <c r="E536" s="259"/>
      <c r="F536" s="307"/>
    </row>
    <row r="537" spans="2:6" x14ac:dyDescent="0.2">
      <c r="B537" s="16"/>
      <c r="E537" s="259"/>
      <c r="F537" s="307"/>
    </row>
    <row r="538" spans="2:6" x14ac:dyDescent="0.2">
      <c r="B538" s="16"/>
      <c r="E538" s="259"/>
      <c r="F538" s="307"/>
    </row>
    <row r="539" spans="2:6" x14ac:dyDescent="0.2">
      <c r="B539" s="16"/>
      <c r="E539" s="259"/>
      <c r="F539" s="307"/>
    </row>
    <row r="540" spans="2:6" x14ac:dyDescent="0.2">
      <c r="B540" s="16"/>
      <c r="E540" s="259"/>
      <c r="F540" s="307"/>
    </row>
    <row r="541" spans="2:6" x14ac:dyDescent="0.2">
      <c r="B541" s="16"/>
      <c r="E541" s="259"/>
      <c r="F541" s="307"/>
    </row>
    <row r="542" spans="2:6" x14ac:dyDescent="0.2">
      <c r="B542" s="16"/>
      <c r="E542" s="259"/>
      <c r="F542" s="307"/>
    </row>
    <row r="543" spans="2:6" x14ac:dyDescent="0.2">
      <c r="B543" s="16"/>
      <c r="E543" s="259"/>
      <c r="F543" s="307"/>
    </row>
    <row r="544" spans="2:6" x14ac:dyDescent="0.2">
      <c r="B544" s="16"/>
      <c r="E544" s="259"/>
      <c r="F544" s="307"/>
    </row>
    <row r="545" spans="2:6" x14ac:dyDescent="0.2">
      <c r="B545" s="16"/>
      <c r="E545" s="259"/>
      <c r="F545" s="307"/>
    </row>
    <row r="546" spans="2:6" x14ac:dyDescent="0.2">
      <c r="B546" s="16"/>
      <c r="E546" s="259"/>
      <c r="F546" s="307"/>
    </row>
    <row r="547" spans="2:6" x14ac:dyDescent="0.2">
      <c r="B547" s="16"/>
      <c r="E547" s="259"/>
      <c r="F547" s="307"/>
    </row>
    <row r="548" spans="2:6" x14ac:dyDescent="0.2">
      <c r="B548" s="16"/>
      <c r="E548" s="259"/>
      <c r="F548" s="307"/>
    </row>
    <row r="549" spans="2:6" x14ac:dyDescent="0.2">
      <c r="B549" s="16"/>
      <c r="E549" s="259"/>
      <c r="F549" s="307"/>
    </row>
    <row r="550" spans="2:6" x14ac:dyDescent="0.2">
      <c r="B550" s="16"/>
      <c r="E550" s="259"/>
      <c r="F550" s="307"/>
    </row>
    <row r="551" spans="2:6" x14ac:dyDescent="0.2">
      <c r="B551" s="16"/>
      <c r="E551" s="259"/>
      <c r="F551" s="307"/>
    </row>
    <row r="552" spans="2:6" x14ac:dyDescent="0.2">
      <c r="B552" s="16"/>
      <c r="E552" s="259"/>
      <c r="F552" s="307"/>
    </row>
    <row r="553" spans="2:6" x14ac:dyDescent="0.2">
      <c r="B553" s="16"/>
      <c r="E553" s="259"/>
      <c r="F553" s="307"/>
    </row>
    <row r="554" spans="2:6" x14ac:dyDescent="0.2">
      <c r="B554" s="16"/>
      <c r="E554" s="259"/>
      <c r="F554" s="307"/>
    </row>
    <row r="555" spans="2:6" x14ac:dyDescent="0.2">
      <c r="B555" s="16"/>
      <c r="E555" s="259"/>
      <c r="F555" s="307"/>
    </row>
    <row r="556" spans="2:6" x14ac:dyDescent="0.2">
      <c r="B556" s="16"/>
      <c r="E556" s="259"/>
      <c r="F556" s="307"/>
    </row>
    <row r="557" spans="2:6" x14ac:dyDescent="0.2">
      <c r="B557" s="16"/>
      <c r="E557" s="259"/>
      <c r="F557" s="307"/>
    </row>
    <row r="558" spans="2:6" x14ac:dyDescent="0.2">
      <c r="B558" s="16"/>
      <c r="E558" s="259"/>
      <c r="F558" s="307"/>
    </row>
    <row r="559" spans="2:6" x14ac:dyDescent="0.2">
      <c r="B559" s="16"/>
      <c r="E559" s="259"/>
      <c r="F559" s="307"/>
    </row>
    <row r="560" spans="2:6" x14ac:dyDescent="0.2">
      <c r="B560" s="16"/>
      <c r="E560" s="259"/>
      <c r="F560" s="307"/>
    </row>
    <row r="561" spans="1:10" x14ac:dyDescent="0.2">
      <c r="A561" s="9" t="s">
        <v>251</v>
      </c>
      <c r="B561" s="10" t="s">
        <v>252</v>
      </c>
      <c r="C561" s="11" t="s">
        <v>6</v>
      </c>
      <c r="D561" s="12" t="s">
        <v>7</v>
      </c>
      <c r="E561" s="267" t="s">
        <v>8</v>
      </c>
      <c r="F561" s="302" t="s">
        <v>9</v>
      </c>
    </row>
    <row r="562" spans="1:10" ht="130.5" customHeight="1" x14ac:dyDescent="0.2">
      <c r="A562" s="1" t="s">
        <v>11</v>
      </c>
      <c r="B562" s="27" t="s">
        <v>253</v>
      </c>
      <c r="C562" s="74"/>
      <c r="D562" s="75"/>
      <c r="E562" s="261"/>
      <c r="F562" s="305"/>
    </row>
    <row r="563" spans="1:10" ht="25.5" x14ac:dyDescent="0.2">
      <c r="B563" s="17" t="s">
        <v>61</v>
      </c>
      <c r="E563" s="259"/>
    </row>
    <row r="564" spans="1:10" x14ac:dyDescent="0.2">
      <c r="B564" s="76" t="s">
        <v>254</v>
      </c>
      <c r="C564" s="74" t="s">
        <v>255</v>
      </c>
      <c r="D564" s="75">
        <f>1.621*1.25*30</f>
        <v>60.787500000000001</v>
      </c>
      <c r="E564" s="261"/>
      <c r="F564" s="304">
        <f>ROUND(D564*E564,2)</f>
        <v>0</v>
      </c>
      <c r="G564" s="304">
        <f t="shared" ref="G564:J564" si="23">ROUND(E564*F564,2)</f>
        <v>0</v>
      </c>
      <c r="H564" s="304">
        <f t="shared" si="23"/>
        <v>0</v>
      </c>
      <c r="I564" s="304">
        <f t="shared" si="23"/>
        <v>0</v>
      </c>
      <c r="J564" s="304">
        <f t="shared" si="23"/>
        <v>0</v>
      </c>
    </row>
    <row r="565" spans="1:10" x14ac:dyDescent="0.2">
      <c r="B565" s="76" t="s">
        <v>256</v>
      </c>
      <c r="C565" s="74" t="s">
        <v>255</v>
      </c>
      <c r="D565" s="75">
        <f>0.1*0.1*0.008*7850*30</f>
        <v>18.840000000000003</v>
      </c>
      <c r="E565" s="261"/>
      <c r="F565" s="304">
        <f t="shared" ref="F565:F628" si="24">ROUND(D565*E565,2)</f>
        <v>0</v>
      </c>
    </row>
    <row r="566" spans="1:10" x14ac:dyDescent="0.2">
      <c r="E566" s="259"/>
      <c r="F566" s="304"/>
    </row>
    <row r="567" spans="1:10" x14ac:dyDescent="0.2">
      <c r="B567" s="17" t="s">
        <v>68</v>
      </c>
      <c r="D567" s="18"/>
      <c r="E567" s="261"/>
      <c r="F567" s="304"/>
    </row>
    <row r="568" spans="1:10" x14ac:dyDescent="0.2">
      <c r="B568" s="76" t="s">
        <v>257</v>
      </c>
      <c r="C568" s="74" t="s">
        <v>255</v>
      </c>
      <c r="D568" s="75">
        <f>1.621*1.25*12</f>
        <v>24.315000000000001</v>
      </c>
      <c r="E568" s="261"/>
      <c r="F568" s="304">
        <f t="shared" si="24"/>
        <v>0</v>
      </c>
    </row>
    <row r="569" spans="1:10" x14ac:dyDescent="0.2">
      <c r="B569" s="76" t="s">
        <v>258</v>
      </c>
      <c r="C569" s="74" t="s">
        <v>255</v>
      </c>
      <c r="D569" s="75">
        <f>0.1*0.1*0.008*7850*12</f>
        <v>7.5360000000000014</v>
      </c>
      <c r="E569" s="261"/>
      <c r="F569" s="304">
        <f t="shared" si="24"/>
        <v>0</v>
      </c>
    </row>
    <row r="570" spans="1:10" x14ac:dyDescent="0.2">
      <c r="B570" s="20"/>
      <c r="D570" s="18"/>
      <c r="E570" s="261"/>
      <c r="F570" s="304"/>
    </row>
    <row r="571" spans="1:10" ht="25.5" x14ac:dyDescent="0.2">
      <c r="B571" s="17" t="s">
        <v>75</v>
      </c>
      <c r="D571" s="18"/>
      <c r="E571" s="261"/>
      <c r="F571" s="304">
        <f t="shared" si="24"/>
        <v>0</v>
      </c>
    </row>
    <row r="572" spans="1:10" x14ac:dyDescent="0.2">
      <c r="B572" s="76" t="s">
        <v>259</v>
      </c>
      <c r="C572" s="74" t="s">
        <v>255</v>
      </c>
      <c r="D572" s="75">
        <f>1.621*1.25*25</f>
        <v>50.65625</v>
      </c>
      <c r="E572" s="261"/>
      <c r="F572" s="304">
        <f t="shared" si="24"/>
        <v>0</v>
      </c>
    </row>
    <row r="573" spans="1:10" x14ac:dyDescent="0.2">
      <c r="B573" s="76" t="s">
        <v>260</v>
      </c>
      <c r="C573" s="74" t="s">
        <v>255</v>
      </c>
      <c r="D573" s="75">
        <f>0.1*0.1*0.008*7850*25</f>
        <v>15.700000000000003</v>
      </c>
      <c r="E573" s="261"/>
      <c r="F573" s="304">
        <f t="shared" si="24"/>
        <v>0</v>
      </c>
    </row>
    <row r="574" spans="1:10" x14ac:dyDescent="0.2">
      <c r="B574" s="20"/>
      <c r="D574" s="18"/>
      <c r="E574" s="261"/>
      <c r="F574" s="304"/>
    </row>
    <row r="575" spans="1:10" ht="18" customHeight="1" x14ac:dyDescent="0.2">
      <c r="B575" s="17" t="s">
        <v>77</v>
      </c>
      <c r="D575" s="18"/>
      <c r="E575" s="261"/>
      <c r="F575" s="304"/>
    </row>
    <row r="576" spans="1:10" x14ac:dyDescent="0.2">
      <c r="B576" s="76" t="s">
        <v>254</v>
      </c>
      <c r="C576" s="74" t="s">
        <v>255</v>
      </c>
      <c r="D576" s="75">
        <f>1.621*1.25*30</f>
        <v>60.787500000000001</v>
      </c>
      <c r="E576" s="261"/>
      <c r="F576" s="304">
        <f t="shared" si="24"/>
        <v>0</v>
      </c>
    </row>
    <row r="577" spans="2:6" x14ac:dyDescent="0.2">
      <c r="B577" s="76" t="s">
        <v>256</v>
      </c>
      <c r="C577" s="74" t="s">
        <v>255</v>
      </c>
      <c r="D577" s="75">
        <f>0.1*0.1*0.008*7850*30</f>
        <v>18.840000000000003</v>
      </c>
      <c r="E577" s="261"/>
      <c r="F577" s="304">
        <f t="shared" si="24"/>
        <v>0</v>
      </c>
    </row>
    <row r="578" spans="2:6" x14ac:dyDescent="0.2">
      <c r="B578" s="20"/>
      <c r="D578" s="18"/>
      <c r="E578" s="261"/>
      <c r="F578" s="304"/>
    </row>
    <row r="579" spans="2:6" x14ac:dyDescent="0.2">
      <c r="B579" s="17" t="s">
        <v>78</v>
      </c>
      <c r="D579" s="18"/>
      <c r="E579" s="261"/>
      <c r="F579" s="304"/>
    </row>
    <row r="580" spans="2:6" x14ac:dyDescent="0.2">
      <c r="B580" s="76" t="s">
        <v>259</v>
      </c>
      <c r="C580" s="74" t="s">
        <v>255</v>
      </c>
      <c r="D580" s="75">
        <f>1.621*1.25*25</f>
        <v>50.65625</v>
      </c>
      <c r="E580" s="261"/>
      <c r="F580" s="304">
        <f t="shared" si="24"/>
        <v>0</v>
      </c>
    </row>
    <row r="581" spans="2:6" x14ac:dyDescent="0.2">
      <c r="B581" s="76" t="s">
        <v>260</v>
      </c>
      <c r="C581" s="74" t="s">
        <v>255</v>
      </c>
      <c r="D581" s="75">
        <f>0.1*0.1*0.008*7850*25</f>
        <v>15.700000000000003</v>
      </c>
      <c r="E581" s="261"/>
      <c r="F581" s="304">
        <f t="shared" si="24"/>
        <v>0</v>
      </c>
    </row>
    <row r="582" spans="2:6" x14ac:dyDescent="0.2">
      <c r="B582" s="20"/>
      <c r="D582" s="18"/>
      <c r="E582" s="261"/>
      <c r="F582" s="304"/>
    </row>
    <row r="583" spans="2:6" x14ac:dyDescent="0.2">
      <c r="B583" s="17" t="s">
        <v>79</v>
      </c>
      <c r="D583" s="18"/>
      <c r="E583" s="261"/>
      <c r="F583" s="304"/>
    </row>
    <row r="584" spans="2:6" x14ac:dyDescent="0.2">
      <c r="B584" s="76" t="s">
        <v>259</v>
      </c>
      <c r="C584" s="74" t="s">
        <v>255</v>
      </c>
      <c r="D584" s="75">
        <f>1.621*1.25*25</f>
        <v>50.65625</v>
      </c>
      <c r="E584" s="261"/>
      <c r="F584" s="304">
        <f t="shared" si="24"/>
        <v>0</v>
      </c>
    </row>
    <row r="585" spans="2:6" x14ac:dyDescent="0.2">
      <c r="B585" s="76" t="s">
        <v>260</v>
      </c>
      <c r="C585" s="74" t="s">
        <v>255</v>
      </c>
      <c r="D585" s="75">
        <f>0.1*0.1*0.008*7850*25</f>
        <v>15.700000000000003</v>
      </c>
      <c r="E585" s="261"/>
      <c r="F585" s="304">
        <f t="shared" si="24"/>
        <v>0</v>
      </c>
    </row>
    <row r="586" spans="2:6" x14ac:dyDescent="0.2">
      <c r="B586" s="20"/>
      <c r="D586" s="18"/>
      <c r="E586" s="261"/>
      <c r="F586" s="304"/>
    </row>
    <row r="587" spans="2:6" x14ac:dyDescent="0.2">
      <c r="B587" s="17" t="s">
        <v>81</v>
      </c>
      <c r="D587" s="18"/>
      <c r="E587" s="261"/>
      <c r="F587" s="304"/>
    </row>
    <row r="588" spans="2:6" x14ac:dyDescent="0.2">
      <c r="B588" s="76" t="s">
        <v>259</v>
      </c>
      <c r="C588" s="74" t="s">
        <v>255</v>
      </c>
      <c r="D588" s="75">
        <f>1.621*1.25*25</f>
        <v>50.65625</v>
      </c>
      <c r="E588" s="261"/>
      <c r="F588" s="304">
        <f t="shared" si="24"/>
        <v>0</v>
      </c>
    </row>
    <row r="589" spans="2:6" x14ac:dyDescent="0.2">
      <c r="B589" s="76" t="s">
        <v>260</v>
      </c>
      <c r="C589" s="74" t="s">
        <v>255</v>
      </c>
      <c r="D589" s="75">
        <f>0.1*0.1*0.008*7850*25</f>
        <v>15.700000000000003</v>
      </c>
      <c r="E589" s="261"/>
      <c r="F589" s="304">
        <f t="shared" si="24"/>
        <v>0</v>
      </c>
    </row>
    <row r="590" spans="2:6" x14ac:dyDescent="0.2">
      <c r="B590" s="20"/>
      <c r="D590" s="18"/>
      <c r="E590" s="261"/>
      <c r="F590" s="304"/>
    </row>
    <row r="591" spans="2:6" x14ac:dyDescent="0.2">
      <c r="B591" s="17" t="s">
        <v>82</v>
      </c>
      <c r="D591" s="18"/>
      <c r="E591" s="261"/>
      <c r="F591" s="304"/>
    </row>
    <row r="592" spans="2:6" x14ac:dyDescent="0.2">
      <c r="B592" s="76" t="s">
        <v>259</v>
      </c>
      <c r="C592" s="74" t="s">
        <v>255</v>
      </c>
      <c r="D592" s="75">
        <f>1.621*1.25*25</f>
        <v>50.65625</v>
      </c>
      <c r="E592" s="261"/>
      <c r="F592" s="304">
        <f t="shared" si="24"/>
        <v>0</v>
      </c>
    </row>
    <row r="593" spans="1:8" x14ac:dyDescent="0.2">
      <c r="B593" s="76" t="s">
        <v>260</v>
      </c>
      <c r="C593" s="74" t="s">
        <v>255</v>
      </c>
      <c r="D593" s="75">
        <f>0.1*0.1*0.008*7850*25</f>
        <v>15.700000000000003</v>
      </c>
      <c r="E593" s="261"/>
      <c r="F593" s="304">
        <f t="shared" si="24"/>
        <v>0</v>
      </c>
    </row>
    <row r="594" spans="1:8" x14ac:dyDescent="0.2">
      <c r="B594" s="20"/>
      <c r="D594" s="18"/>
      <c r="E594" s="261"/>
      <c r="F594" s="304"/>
    </row>
    <row r="595" spans="1:8" x14ac:dyDescent="0.2">
      <c r="B595" s="17" t="s">
        <v>83</v>
      </c>
      <c r="D595" s="18"/>
      <c r="E595" s="261"/>
      <c r="F595" s="304"/>
    </row>
    <row r="596" spans="1:8" x14ac:dyDescent="0.2">
      <c r="B596" s="76" t="s">
        <v>259</v>
      </c>
      <c r="C596" s="74" t="s">
        <v>255</v>
      </c>
      <c r="D596" s="75">
        <f>1.621*1.25*25</f>
        <v>50.65625</v>
      </c>
      <c r="E596" s="261"/>
      <c r="F596" s="304">
        <f t="shared" si="24"/>
        <v>0</v>
      </c>
    </row>
    <row r="597" spans="1:8" x14ac:dyDescent="0.2">
      <c r="B597" s="76" t="s">
        <v>260</v>
      </c>
      <c r="C597" s="74" t="s">
        <v>255</v>
      </c>
      <c r="D597" s="75">
        <f>0.1*0.1*0.008*7850*25</f>
        <v>15.700000000000003</v>
      </c>
      <c r="E597" s="261"/>
      <c r="F597" s="304">
        <f t="shared" si="24"/>
        <v>0</v>
      </c>
    </row>
    <row r="598" spans="1:8" x14ac:dyDescent="0.2">
      <c r="B598" s="76"/>
      <c r="C598" s="74"/>
      <c r="D598" s="75"/>
      <c r="E598" s="261"/>
      <c r="F598" s="304"/>
    </row>
    <row r="599" spans="1:8" ht="102" x14ac:dyDescent="0.2">
      <c r="A599" s="1" t="s">
        <v>31</v>
      </c>
      <c r="B599" s="27" t="s">
        <v>261</v>
      </c>
      <c r="C599" s="74"/>
      <c r="D599" s="75"/>
      <c r="E599" s="261"/>
      <c r="F599" s="304"/>
    </row>
    <row r="600" spans="1:8" x14ac:dyDescent="0.2">
      <c r="B600" s="77" t="s">
        <v>262</v>
      </c>
      <c r="C600" s="74" t="s">
        <v>90</v>
      </c>
      <c r="D600" s="75">
        <v>4</v>
      </c>
      <c r="E600" s="261"/>
      <c r="F600" s="304">
        <f t="shared" si="24"/>
        <v>0</v>
      </c>
    </row>
    <row r="601" spans="1:8" ht="375.75" customHeight="1" x14ac:dyDescent="0.2">
      <c r="A601" s="1" t="s">
        <v>44</v>
      </c>
      <c r="B601" s="27" t="s">
        <v>263</v>
      </c>
      <c r="C601" s="74"/>
      <c r="D601" s="75"/>
      <c r="E601" s="261"/>
      <c r="F601" s="304">
        <f t="shared" si="24"/>
        <v>0</v>
      </c>
    </row>
    <row r="602" spans="1:8" ht="25.5" x14ac:dyDescent="0.2">
      <c r="B602" s="17" t="s">
        <v>61</v>
      </c>
      <c r="D602" s="18"/>
      <c r="E602" s="261"/>
      <c r="F602" s="304"/>
    </row>
    <row r="603" spans="1:8" ht="14.25" x14ac:dyDescent="0.2">
      <c r="B603" s="20" t="s">
        <v>62</v>
      </c>
      <c r="C603" s="3" t="s">
        <v>48</v>
      </c>
      <c r="D603" s="18">
        <f>0.2*0.2*G603</f>
        <v>0.20000000000000004</v>
      </c>
      <c r="E603" s="261"/>
      <c r="F603" s="304">
        <f t="shared" si="24"/>
        <v>0</v>
      </c>
      <c r="G603">
        <v>5</v>
      </c>
    </row>
    <row r="604" spans="1:8" ht="15" customHeight="1" x14ac:dyDescent="0.2">
      <c r="B604" s="20" t="s">
        <v>63</v>
      </c>
      <c r="C604" s="3" t="s">
        <v>48</v>
      </c>
      <c r="D604" s="18">
        <f>0.2*0.2*G604</f>
        <v>0.20000000000000004</v>
      </c>
      <c r="E604" s="261"/>
      <c r="F604" s="304">
        <f t="shared" si="24"/>
        <v>0</v>
      </c>
      <c r="G604">
        <v>5</v>
      </c>
    </row>
    <row r="605" spans="1:8" ht="14.25" x14ac:dyDescent="0.2">
      <c r="B605" s="20" t="s">
        <v>64</v>
      </c>
      <c r="C605" s="3" t="s">
        <v>48</v>
      </c>
      <c r="D605" s="18">
        <f>0.2*0.2*G605</f>
        <v>0.20000000000000004</v>
      </c>
      <c r="E605" s="261"/>
      <c r="F605" s="304">
        <f t="shared" si="24"/>
        <v>0</v>
      </c>
      <c r="G605">
        <v>5</v>
      </c>
    </row>
    <row r="606" spans="1:8" ht="14.25" x14ac:dyDescent="0.2">
      <c r="B606" s="20" t="s">
        <v>65</v>
      </c>
      <c r="C606" s="3" t="s">
        <v>48</v>
      </c>
      <c r="D606" s="18">
        <f t="shared" ref="D606:D608" si="25">0.2*0.2*G606</f>
        <v>0.20000000000000004</v>
      </c>
      <c r="E606" s="261"/>
      <c r="F606" s="304">
        <f t="shared" si="24"/>
        <v>0</v>
      </c>
      <c r="G606">
        <v>5</v>
      </c>
    </row>
    <row r="607" spans="1:8" ht="14.25" x14ac:dyDescent="0.2">
      <c r="B607" s="20" t="s">
        <v>66</v>
      </c>
      <c r="C607" s="3" t="s">
        <v>48</v>
      </c>
      <c r="D607" s="18">
        <f t="shared" si="25"/>
        <v>0.20000000000000004</v>
      </c>
      <c r="E607" s="261"/>
      <c r="F607" s="304">
        <f t="shared" si="24"/>
        <v>0</v>
      </c>
      <c r="G607">
        <v>5</v>
      </c>
    </row>
    <row r="608" spans="1:8" ht="14.25" x14ac:dyDescent="0.2">
      <c r="B608" s="20" t="s">
        <v>67</v>
      </c>
      <c r="C608" s="3" t="s">
        <v>48</v>
      </c>
      <c r="D608" s="18">
        <f t="shared" si="25"/>
        <v>0.20000000000000004</v>
      </c>
      <c r="E608" s="261"/>
      <c r="F608" s="304">
        <f t="shared" si="24"/>
        <v>0</v>
      </c>
      <c r="G608">
        <v>5</v>
      </c>
      <c r="H608">
        <f>SUM(G600:G608)</f>
        <v>30</v>
      </c>
    </row>
    <row r="609" spans="2:8" x14ac:dyDescent="0.2">
      <c r="B609" s="20"/>
      <c r="D609" s="18"/>
      <c r="E609" s="261"/>
      <c r="F609" s="304"/>
    </row>
    <row r="610" spans="2:8" x14ac:dyDescent="0.2">
      <c r="B610" s="17" t="s">
        <v>68</v>
      </c>
      <c r="D610" s="18"/>
      <c r="E610" s="261"/>
      <c r="F610" s="304"/>
    </row>
    <row r="611" spans="2:8" ht="14.25" x14ac:dyDescent="0.2">
      <c r="B611" s="20" t="s">
        <v>69</v>
      </c>
      <c r="C611" s="3" t="s">
        <v>48</v>
      </c>
      <c r="D611" s="18">
        <f>0.2*0.2*G611</f>
        <v>8.0000000000000016E-2</v>
      </c>
      <c r="E611" s="261"/>
      <c r="F611" s="304">
        <f t="shared" si="24"/>
        <v>0</v>
      </c>
      <c r="G611">
        <v>2</v>
      </c>
    </row>
    <row r="612" spans="2:8" ht="14.25" x14ac:dyDescent="0.2">
      <c r="B612" s="20" t="s">
        <v>70</v>
      </c>
      <c r="C612" s="3" t="s">
        <v>48</v>
      </c>
      <c r="D612" s="18">
        <f>0.2*0.2*G612</f>
        <v>8.0000000000000016E-2</v>
      </c>
      <c r="E612" s="261"/>
      <c r="F612" s="304">
        <f t="shared" si="24"/>
        <v>0</v>
      </c>
      <c r="G612">
        <v>2</v>
      </c>
    </row>
    <row r="613" spans="2:8" ht="14.25" x14ac:dyDescent="0.2">
      <c r="B613" s="20" t="s">
        <v>71</v>
      </c>
      <c r="C613" s="3" t="s">
        <v>48</v>
      </c>
      <c r="D613" s="18">
        <f>0.2*0.2*G613</f>
        <v>8.0000000000000016E-2</v>
      </c>
      <c r="E613" s="261"/>
      <c r="F613" s="304">
        <f t="shared" si="24"/>
        <v>0</v>
      </c>
      <c r="G613">
        <v>2</v>
      </c>
    </row>
    <row r="614" spans="2:8" ht="14.25" x14ac:dyDescent="0.2">
      <c r="B614" s="20" t="s">
        <v>72</v>
      </c>
      <c r="C614" s="3" t="s">
        <v>48</v>
      </c>
      <c r="D614" s="18">
        <f t="shared" ref="D614:D616" si="26">0.2*0.2*G614</f>
        <v>8.0000000000000016E-2</v>
      </c>
      <c r="E614" s="261"/>
      <c r="F614" s="304">
        <f t="shared" si="24"/>
        <v>0</v>
      </c>
      <c r="G614">
        <v>2</v>
      </c>
    </row>
    <row r="615" spans="2:8" ht="14.25" x14ac:dyDescent="0.2">
      <c r="B615" s="20" t="s">
        <v>73</v>
      </c>
      <c r="C615" s="3" t="s">
        <v>48</v>
      </c>
      <c r="D615" s="18">
        <f t="shared" si="26"/>
        <v>8.0000000000000016E-2</v>
      </c>
      <c r="E615" s="261"/>
      <c r="F615" s="304">
        <f t="shared" si="24"/>
        <v>0</v>
      </c>
      <c r="G615">
        <v>2</v>
      </c>
    </row>
    <row r="616" spans="2:8" ht="14.25" x14ac:dyDescent="0.2">
      <c r="B616" s="20" t="s">
        <v>74</v>
      </c>
      <c r="C616" s="3" t="s">
        <v>48</v>
      </c>
      <c r="D616" s="18">
        <f t="shared" si="26"/>
        <v>8.0000000000000016E-2</v>
      </c>
      <c r="E616" s="261"/>
      <c r="F616" s="304">
        <f t="shared" si="24"/>
        <v>0</v>
      </c>
      <c r="G616">
        <v>2</v>
      </c>
      <c r="H616">
        <f>SUM(G611:G616)</f>
        <v>12</v>
      </c>
    </row>
    <row r="617" spans="2:8" x14ac:dyDescent="0.2">
      <c r="B617" s="20"/>
      <c r="D617" s="18"/>
      <c r="E617" s="261"/>
      <c r="F617" s="304"/>
    </row>
    <row r="618" spans="2:8" ht="25.5" x14ac:dyDescent="0.2">
      <c r="B618" s="17" t="s">
        <v>75</v>
      </c>
      <c r="D618" s="18"/>
      <c r="E618" s="261"/>
      <c r="F618" s="304"/>
    </row>
    <row r="619" spans="2:8" ht="14.25" x14ac:dyDescent="0.2">
      <c r="B619" s="20" t="s">
        <v>62</v>
      </c>
      <c r="C619" s="3" t="s">
        <v>48</v>
      </c>
      <c r="D619" s="18">
        <f>0.2*0.2*G619</f>
        <v>0.20000000000000004</v>
      </c>
      <c r="E619" s="261"/>
      <c r="F619" s="304">
        <f t="shared" si="24"/>
        <v>0</v>
      </c>
      <c r="G619">
        <v>5</v>
      </c>
    </row>
    <row r="620" spans="2:8" ht="14.25" x14ac:dyDescent="0.2">
      <c r="B620" s="20" t="s">
        <v>76</v>
      </c>
      <c r="C620" s="3" t="s">
        <v>48</v>
      </c>
      <c r="D620" s="18">
        <f t="shared" ref="D620:D623" si="27">0.2*0.2*G620</f>
        <v>0.20000000000000004</v>
      </c>
      <c r="E620" s="261"/>
      <c r="F620" s="304">
        <f t="shared" si="24"/>
        <v>0</v>
      </c>
      <c r="G620">
        <v>5</v>
      </c>
    </row>
    <row r="621" spans="2:8" ht="14.25" x14ac:dyDescent="0.2">
      <c r="B621" s="20" t="s">
        <v>65</v>
      </c>
      <c r="C621" s="3" t="s">
        <v>48</v>
      </c>
      <c r="D621" s="18">
        <f t="shared" si="27"/>
        <v>0.20000000000000004</v>
      </c>
      <c r="E621" s="261"/>
      <c r="F621" s="304">
        <f t="shared" si="24"/>
        <v>0</v>
      </c>
      <c r="G621">
        <v>5</v>
      </c>
    </row>
    <row r="622" spans="2:8" ht="14.25" x14ac:dyDescent="0.2">
      <c r="B622" s="20" t="s">
        <v>66</v>
      </c>
      <c r="C622" s="3" t="s">
        <v>48</v>
      </c>
      <c r="D622" s="18">
        <f t="shared" si="27"/>
        <v>0.20000000000000004</v>
      </c>
      <c r="E622" s="261"/>
      <c r="F622" s="304">
        <f t="shared" si="24"/>
        <v>0</v>
      </c>
      <c r="G622">
        <v>5</v>
      </c>
    </row>
    <row r="623" spans="2:8" ht="14.25" x14ac:dyDescent="0.2">
      <c r="B623" s="20" t="s">
        <v>67</v>
      </c>
      <c r="C623" s="3" t="s">
        <v>48</v>
      </c>
      <c r="D623" s="18">
        <f t="shared" si="27"/>
        <v>0.20000000000000004</v>
      </c>
      <c r="E623" s="261"/>
      <c r="F623" s="304">
        <f t="shared" si="24"/>
        <v>0</v>
      </c>
      <c r="G623">
        <v>5</v>
      </c>
      <c r="H623">
        <f>SUM(G619:G623)</f>
        <v>25</v>
      </c>
    </row>
    <row r="624" spans="2:8" x14ac:dyDescent="0.2">
      <c r="B624" s="20"/>
      <c r="D624" s="18"/>
      <c r="E624" s="261"/>
      <c r="F624" s="304"/>
    </row>
    <row r="625" spans="2:8" x14ac:dyDescent="0.2">
      <c r="B625" s="20"/>
      <c r="D625" s="18"/>
      <c r="E625" s="261"/>
      <c r="F625" s="304"/>
    </row>
    <row r="626" spans="2:8" x14ac:dyDescent="0.2">
      <c r="B626" s="20"/>
      <c r="D626" s="18"/>
      <c r="E626" s="261"/>
      <c r="F626" s="304"/>
    </row>
    <row r="627" spans="2:8" ht="14.25" customHeight="1" x14ac:dyDescent="0.2">
      <c r="B627" s="17" t="s">
        <v>77</v>
      </c>
      <c r="D627" s="18"/>
      <c r="E627" s="261"/>
      <c r="F627" s="304"/>
    </row>
    <row r="628" spans="2:8" ht="14.25" x14ac:dyDescent="0.2">
      <c r="B628" s="20" t="s">
        <v>69</v>
      </c>
      <c r="C628" s="3" t="s">
        <v>48</v>
      </c>
      <c r="D628" s="18">
        <f>0.2*0.2*G628</f>
        <v>0.20000000000000004</v>
      </c>
      <c r="E628" s="261"/>
      <c r="F628" s="304">
        <f t="shared" si="24"/>
        <v>0</v>
      </c>
      <c r="G628">
        <v>5</v>
      </c>
    </row>
    <row r="629" spans="2:8" ht="14.25" x14ac:dyDescent="0.2">
      <c r="B629" s="20" t="s">
        <v>70</v>
      </c>
      <c r="C629" s="3" t="s">
        <v>48</v>
      </c>
      <c r="D629" s="18">
        <f t="shared" ref="D629:D633" si="28">0.2*0.2*G629</f>
        <v>0.20000000000000004</v>
      </c>
      <c r="E629" s="261"/>
      <c r="F629" s="304">
        <f t="shared" ref="F629:F692" si="29">ROUND(D629*E629,2)</f>
        <v>0</v>
      </c>
      <c r="G629">
        <v>5</v>
      </c>
    </row>
    <row r="630" spans="2:8" ht="14.25" x14ac:dyDescent="0.2">
      <c r="B630" s="20" t="s">
        <v>71</v>
      </c>
      <c r="C630" s="3" t="s">
        <v>48</v>
      </c>
      <c r="D630" s="18">
        <f t="shared" si="28"/>
        <v>0.20000000000000004</v>
      </c>
      <c r="E630" s="261"/>
      <c r="F630" s="304">
        <f t="shared" si="29"/>
        <v>0</v>
      </c>
      <c r="G630">
        <v>5</v>
      </c>
    </row>
    <row r="631" spans="2:8" ht="14.25" x14ac:dyDescent="0.2">
      <c r="B631" s="20" t="s">
        <v>72</v>
      </c>
      <c r="C631" s="3" t="s">
        <v>48</v>
      </c>
      <c r="D631" s="18">
        <f t="shared" si="28"/>
        <v>0.20000000000000004</v>
      </c>
      <c r="E631" s="261"/>
      <c r="F631" s="304">
        <f t="shared" si="29"/>
        <v>0</v>
      </c>
      <c r="G631">
        <v>5</v>
      </c>
    </row>
    <row r="632" spans="2:8" ht="14.25" x14ac:dyDescent="0.2">
      <c r="B632" s="20" t="s">
        <v>73</v>
      </c>
      <c r="C632" s="3" t="s">
        <v>48</v>
      </c>
      <c r="D632" s="18">
        <f t="shared" si="28"/>
        <v>0.20000000000000004</v>
      </c>
      <c r="E632" s="261"/>
      <c r="F632" s="304">
        <f t="shared" si="29"/>
        <v>0</v>
      </c>
      <c r="G632">
        <v>5</v>
      </c>
    </row>
    <row r="633" spans="2:8" ht="14.25" x14ac:dyDescent="0.2">
      <c r="B633" s="20" t="s">
        <v>74</v>
      </c>
      <c r="C633" s="3" t="s">
        <v>48</v>
      </c>
      <c r="D633" s="18">
        <f t="shared" si="28"/>
        <v>0.20000000000000004</v>
      </c>
      <c r="E633" s="261"/>
      <c r="F633" s="304">
        <f t="shared" si="29"/>
        <v>0</v>
      </c>
      <c r="G633">
        <v>5</v>
      </c>
      <c r="H633">
        <f>SUM(G628:G633)</f>
        <v>30</v>
      </c>
    </row>
    <row r="634" spans="2:8" x14ac:dyDescent="0.2">
      <c r="B634" s="20"/>
      <c r="D634" s="18"/>
      <c r="E634" s="261"/>
      <c r="F634" s="304"/>
    </row>
    <row r="635" spans="2:8" x14ac:dyDescent="0.2">
      <c r="B635" s="17" t="s">
        <v>78</v>
      </c>
      <c r="D635" s="18"/>
      <c r="E635" s="261"/>
      <c r="F635" s="304"/>
    </row>
    <row r="636" spans="2:8" ht="14.25" x14ac:dyDescent="0.2">
      <c r="B636" s="20" t="s">
        <v>62</v>
      </c>
      <c r="C636" s="3" t="s">
        <v>48</v>
      </c>
      <c r="D636" s="18">
        <f>0.2*0.2*G636</f>
        <v>0.20000000000000004</v>
      </c>
      <c r="E636" s="261"/>
      <c r="F636" s="304">
        <f t="shared" si="29"/>
        <v>0</v>
      </c>
      <c r="G636">
        <v>5</v>
      </c>
    </row>
    <row r="637" spans="2:8" ht="14.25" x14ac:dyDescent="0.2">
      <c r="B637" s="20" t="s">
        <v>76</v>
      </c>
      <c r="C637" s="3" t="s">
        <v>48</v>
      </c>
      <c r="D637" s="18">
        <f t="shared" ref="D637:D640" si="30">0.2*0.2*G637</f>
        <v>0.20000000000000004</v>
      </c>
      <c r="E637" s="261"/>
      <c r="F637" s="304">
        <f t="shared" si="29"/>
        <v>0</v>
      </c>
      <c r="G637">
        <v>5</v>
      </c>
    </row>
    <row r="638" spans="2:8" ht="14.25" x14ac:dyDescent="0.2">
      <c r="B638" s="20" t="s">
        <v>65</v>
      </c>
      <c r="C638" s="3" t="s">
        <v>48</v>
      </c>
      <c r="D638" s="18">
        <f t="shared" si="30"/>
        <v>0.20000000000000004</v>
      </c>
      <c r="E638" s="261"/>
      <c r="F638" s="304">
        <f t="shared" si="29"/>
        <v>0</v>
      </c>
      <c r="G638">
        <v>5</v>
      </c>
    </row>
    <row r="639" spans="2:8" ht="14.25" x14ac:dyDescent="0.2">
      <c r="B639" s="20" t="s">
        <v>66</v>
      </c>
      <c r="C639" s="3" t="s">
        <v>48</v>
      </c>
      <c r="D639" s="18">
        <f t="shared" si="30"/>
        <v>0.20000000000000004</v>
      </c>
      <c r="E639" s="261"/>
      <c r="F639" s="304">
        <f t="shared" si="29"/>
        <v>0</v>
      </c>
      <c r="G639">
        <v>5</v>
      </c>
    </row>
    <row r="640" spans="2:8" ht="14.25" x14ac:dyDescent="0.2">
      <c r="B640" s="20" t="s">
        <v>67</v>
      </c>
      <c r="C640" s="3" t="s">
        <v>48</v>
      </c>
      <c r="D640" s="18">
        <f t="shared" si="30"/>
        <v>0.20000000000000004</v>
      </c>
      <c r="E640" s="261"/>
      <c r="F640" s="304">
        <f t="shared" si="29"/>
        <v>0</v>
      </c>
      <c r="G640">
        <v>5</v>
      </c>
      <c r="H640">
        <f>SUM(G636:G640)</f>
        <v>25</v>
      </c>
    </row>
    <row r="641" spans="2:8" x14ac:dyDescent="0.2">
      <c r="B641" s="20"/>
      <c r="D641" s="18"/>
      <c r="E641" s="261"/>
      <c r="F641" s="304"/>
    </row>
    <row r="642" spans="2:8" x14ac:dyDescent="0.2">
      <c r="B642" s="17" t="s">
        <v>79</v>
      </c>
      <c r="D642" s="18"/>
      <c r="E642" s="261"/>
      <c r="F642" s="304"/>
    </row>
    <row r="643" spans="2:8" ht="14.25" x14ac:dyDescent="0.2">
      <c r="B643" s="20" t="s">
        <v>69</v>
      </c>
      <c r="C643" s="3" t="s">
        <v>48</v>
      </c>
      <c r="D643" s="18">
        <f>0.2*0.2*G643</f>
        <v>0.20000000000000004</v>
      </c>
      <c r="E643" s="261"/>
      <c r="F643" s="304">
        <f t="shared" si="29"/>
        <v>0</v>
      </c>
      <c r="G643">
        <v>5</v>
      </c>
    </row>
    <row r="644" spans="2:8" ht="14.25" x14ac:dyDescent="0.2">
      <c r="B644" s="20" t="s">
        <v>70</v>
      </c>
      <c r="C644" s="3" t="s">
        <v>48</v>
      </c>
      <c r="D644" s="18">
        <f t="shared" ref="D644:D647" si="31">0.2*0.2*G644</f>
        <v>0.20000000000000004</v>
      </c>
      <c r="E644" s="261"/>
      <c r="F644" s="304">
        <f t="shared" si="29"/>
        <v>0</v>
      </c>
      <c r="G644">
        <v>5</v>
      </c>
    </row>
    <row r="645" spans="2:8" ht="14.25" x14ac:dyDescent="0.2">
      <c r="B645" s="20" t="s">
        <v>71</v>
      </c>
      <c r="C645" s="3" t="s">
        <v>48</v>
      </c>
      <c r="D645" s="18">
        <f t="shared" si="31"/>
        <v>0.20000000000000004</v>
      </c>
      <c r="E645" s="261"/>
      <c r="F645" s="304">
        <f t="shared" si="29"/>
        <v>0</v>
      </c>
      <c r="G645">
        <v>5</v>
      </c>
    </row>
    <row r="646" spans="2:8" ht="14.25" x14ac:dyDescent="0.2">
      <c r="B646" s="20" t="s">
        <v>80</v>
      </c>
      <c r="C646" s="3" t="s">
        <v>48</v>
      </c>
      <c r="D646" s="18">
        <f t="shared" si="31"/>
        <v>0.20000000000000004</v>
      </c>
      <c r="E646" s="261"/>
      <c r="F646" s="304">
        <f t="shared" si="29"/>
        <v>0</v>
      </c>
      <c r="G646">
        <v>5</v>
      </c>
    </row>
    <row r="647" spans="2:8" ht="14.25" x14ac:dyDescent="0.2">
      <c r="B647" s="20" t="s">
        <v>74</v>
      </c>
      <c r="C647" s="3" t="s">
        <v>48</v>
      </c>
      <c r="D647" s="18">
        <f t="shared" si="31"/>
        <v>0.20000000000000004</v>
      </c>
      <c r="E647" s="261"/>
      <c r="F647" s="304">
        <f t="shared" si="29"/>
        <v>0</v>
      </c>
      <c r="G647">
        <v>5</v>
      </c>
      <c r="H647">
        <f>SUM(G643:G647)</f>
        <v>25</v>
      </c>
    </row>
    <row r="648" spans="2:8" x14ac:dyDescent="0.2">
      <c r="B648" s="20"/>
      <c r="D648" s="18"/>
      <c r="E648" s="261"/>
      <c r="F648" s="304"/>
    </row>
    <row r="649" spans="2:8" x14ac:dyDescent="0.2">
      <c r="B649" s="17" t="s">
        <v>81</v>
      </c>
      <c r="D649" s="18"/>
      <c r="E649" s="261"/>
      <c r="F649" s="304"/>
    </row>
    <row r="650" spans="2:8" ht="14.25" x14ac:dyDescent="0.2">
      <c r="B650" s="20" t="s">
        <v>62</v>
      </c>
      <c r="C650" s="3" t="s">
        <v>48</v>
      </c>
      <c r="D650" s="18">
        <f>0.2*0.2*G650</f>
        <v>0.20000000000000004</v>
      </c>
      <c r="E650" s="261"/>
      <c r="F650" s="304">
        <f t="shared" si="29"/>
        <v>0</v>
      </c>
      <c r="G650">
        <v>5</v>
      </c>
    </row>
    <row r="651" spans="2:8" ht="14.25" x14ac:dyDescent="0.2">
      <c r="B651" s="20" t="s">
        <v>76</v>
      </c>
      <c r="C651" s="3" t="s">
        <v>48</v>
      </c>
      <c r="D651" s="18">
        <f t="shared" ref="D651:D654" si="32">0.2*0.2*G651</f>
        <v>0.20000000000000004</v>
      </c>
      <c r="E651" s="261"/>
      <c r="F651" s="304">
        <f t="shared" si="29"/>
        <v>0</v>
      </c>
      <c r="G651">
        <v>5</v>
      </c>
    </row>
    <row r="652" spans="2:8" ht="14.25" x14ac:dyDescent="0.2">
      <c r="B652" s="20" t="s">
        <v>65</v>
      </c>
      <c r="C652" s="3" t="s">
        <v>48</v>
      </c>
      <c r="D652" s="18">
        <f t="shared" si="32"/>
        <v>0.20000000000000004</v>
      </c>
      <c r="E652" s="261"/>
      <c r="F652" s="304">
        <f t="shared" si="29"/>
        <v>0</v>
      </c>
      <c r="G652">
        <v>5</v>
      </c>
    </row>
    <row r="653" spans="2:8" ht="14.25" x14ac:dyDescent="0.2">
      <c r="B653" s="20" t="s">
        <v>66</v>
      </c>
      <c r="C653" s="3" t="s">
        <v>48</v>
      </c>
      <c r="D653" s="18">
        <f t="shared" si="32"/>
        <v>0.20000000000000004</v>
      </c>
      <c r="E653" s="261"/>
      <c r="F653" s="304">
        <f t="shared" si="29"/>
        <v>0</v>
      </c>
      <c r="G653">
        <v>5</v>
      </c>
    </row>
    <row r="654" spans="2:8" ht="14.25" x14ac:dyDescent="0.2">
      <c r="B654" s="20" t="s">
        <v>67</v>
      </c>
      <c r="C654" s="3" t="s">
        <v>48</v>
      </c>
      <c r="D654" s="18">
        <f t="shared" si="32"/>
        <v>0.20000000000000004</v>
      </c>
      <c r="E654" s="261"/>
      <c r="F654" s="304">
        <f t="shared" si="29"/>
        <v>0</v>
      </c>
      <c r="G654">
        <v>5</v>
      </c>
      <c r="H654">
        <f>SUM(G650:G654)</f>
        <v>25</v>
      </c>
    </row>
    <row r="655" spans="2:8" x14ac:dyDescent="0.2">
      <c r="B655" s="20"/>
      <c r="D655" s="18"/>
      <c r="E655" s="261"/>
      <c r="F655" s="304"/>
    </row>
    <row r="656" spans="2:8" x14ac:dyDescent="0.2">
      <c r="B656" s="17" t="s">
        <v>82</v>
      </c>
      <c r="D656" s="18"/>
      <c r="E656" s="261"/>
      <c r="F656" s="304"/>
    </row>
    <row r="657" spans="1:8" ht="14.25" x14ac:dyDescent="0.2">
      <c r="B657" s="20" t="s">
        <v>69</v>
      </c>
      <c r="C657" s="3" t="s">
        <v>48</v>
      </c>
      <c r="D657" s="18">
        <f>0.2*0.2*G657</f>
        <v>0.20000000000000004</v>
      </c>
      <c r="E657" s="261"/>
      <c r="F657" s="304">
        <f t="shared" si="29"/>
        <v>0</v>
      </c>
      <c r="G657">
        <v>5</v>
      </c>
    </row>
    <row r="658" spans="1:8" ht="14.25" x14ac:dyDescent="0.2">
      <c r="B658" s="20" t="s">
        <v>70</v>
      </c>
      <c r="C658" s="3" t="s">
        <v>48</v>
      </c>
      <c r="D658" s="18">
        <f t="shared" ref="D658:D661" si="33">0.2*0.2*G658</f>
        <v>0.20000000000000004</v>
      </c>
      <c r="E658" s="261"/>
      <c r="F658" s="304">
        <f t="shared" si="29"/>
        <v>0</v>
      </c>
      <c r="G658">
        <v>5</v>
      </c>
    </row>
    <row r="659" spans="1:8" ht="14.25" x14ac:dyDescent="0.2">
      <c r="B659" s="20" t="s">
        <v>71</v>
      </c>
      <c r="C659" s="3" t="s">
        <v>48</v>
      </c>
      <c r="D659" s="18">
        <f t="shared" si="33"/>
        <v>0.20000000000000004</v>
      </c>
      <c r="E659" s="261"/>
      <c r="F659" s="304">
        <f t="shared" si="29"/>
        <v>0</v>
      </c>
      <c r="G659">
        <v>5</v>
      </c>
    </row>
    <row r="660" spans="1:8" ht="14.25" x14ac:dyDescent="0.2">
      <c r="B660" s="20" t="s">
        <v>80</v>
      </c>
      <c r="C660" s="3" t="s">
        <v>48</v>
      </c>
      <c r="D660" s="18">
        <f t="shared" si="33"/>
        <v>0.20000000000000004</v>
      </c>
      <c r="E660" s="261"/>
      <c r="F660" s="304">
        <f t="shared" si="29"/>
        <v>0</v>
      </c>
      <c r="G660">
        <v>5</v>
      </c>
    </row>
    <row r="661" spans="1:8" ht="14.25" x14ac:dyDescent="0.2">
      <c r="B661" s="20" t="s">
        <v>74</v>
      </c>
      <c r="C661" s="3" t="s">
        <v>48</v>
      </c>
      <c r="D661" s="18">
        <f t="shared" si="33"/>
        <v>0.20000000000000004</v>
      </c>
      <c r="E661" s="261"/>
      <c r="F661" s="304">
        <f t="shared" si="29"/>
        <v>0</v>
      </c>
      <c r="G661">
        <v>5</v>
      </c>
      <c r="H661">
        <f>SUM(G657:G661)</f>
        <v>25</v>
      </c>
    </row>
    <row r="662" spans="1:8" x14ac:dyDescent="0.2">
      <c r="B662" s="20"/>
      <c r="D662" s="18"/>
      <c r="E662" s="261"/>
      <c r="F662" s="304"/>
    </row>
    <row r="663" spans="1:8" x14ac:dyDescent="0.2">
      <c r="B663" s="17" t="s">
        <v>83</v>
      </c>
      <c r="D663" s="18"/>
      <c r="E663" s="261"/>
      <c r="F663" s="304"/>
    </row>
    <row r="664" spans="1:8" ht="14.25" x14ac:dyDescent="0.2">
      <c r="B664" s="20" t="s">
        <v>62</v>
      </c>
      <c r="C664" s="3" t="s">
        <v>48</v>
      </c>
      <c r="D664" s="18">
        <f>0.2*0.2*G664</f>
        <v>0.20000000000000004</v>
      </c>
      <c r="E664" s="261"/>
      <c r="F664" s="304">
        <f t="shared" si="29"/>
        <v>0</v>
      </c>
      <c r="G664">
        <v>5</v>
      </c>
    </row>
    <row r="665" spans="1:8" ht="14.25" x14ac:dyDescent="0.2">
      <c r="B665" s="20" t="s">
        <v>76</v>
      </c>
      <c r="C665" s="3" t="s">
        <v>48</v>
      </c>
      <c r="D665" s="18">
        <f t="shared" ref="D665:D668" si="34">0.2*0.2*G665</f>
        <v>0.20000000000000004</v>
      </c>
      <c r="E665" s="261"/>
      <c r="F665" s="304">
        <f t="shared" si="29"/>
        <v>0</v>
      </c>
      <c r="G665">
        <v>5</v>
      </c>
    </row>
    <row r="666" spans="1:8" ht="14.25" x14ac:dyDescent="0.2">
      <c r="B666" s="20" t="s">
        <v>65</v>
      </c>
      <c r="C666" s="3" t="s">
        <v>48</v>
      </c>
      <c r="D666" s="18">
        <f t="shared" si="34"/>
        <v>0.20000000000000004</v>
      </c>
      <c r="E666" s="261"/>
      <c r="F666" s="304">
        <f t="shared" si="29"/>
        <v>0</v>
      </c>
      <c r="G666">
        <v>5</v>
      </c>
    </row>
    <row r="667" spans="1:8" ht="14.25" x14ac:dyDescent="0.2">
      <c r="B667" s="20" t="s">
        <v>66</v>
      </c>
      <c r="C667" s="3" t="s">
        <v>48</v>
      </c>
      <c r="D667" s="18">
        <f t="shared" si="34"/>
        <v>0.20000000000000004</v>
      </c>
      <c r="E667" s="261"/>
      <c r="F667" s="304">
        <f t="shared" si="29"/>
        <v>0</v>
      </c>
      <c r="G667">
        <v>5</v>
      </c>
    </row>
    <row r="668" spans="1:8" ht="14.25" x14ac:dyDescent="0.2">
      <c r="B668" s="20" t="s">
        <v>67</v>
      </c>
      <c r="C668" s="3" t="s">
        <v>48</v>
      </c>
      <c r="D668" s="18">
        <f t="shared" si="34"/>
        <v>0.20000000000000004</v>
      </c>
      <c r="E668" s="261"/>
      <c r="F668" s="304">
        <f t="shared" si="29"/>
        <v>0</v>
      </c>
      <c r="G668">
        <v>5</v>
      </c>
      <c r="H668">
        <f>SUM(G664:G668)</f>
        <v>25</v>
      </c>
    </row>
    <row r="669" spans="1:8" x14ac:dyDescent="0.2">
      <c r="B669" s="20"/>
      <c r="D669" s="18"/>
      <c r="E669" s="261"/>
      <c r="F669" s="304"/>
    </row>
    <row r="670" spans="1:8" ht="81.75" customHeight="1" x14ac:dyDescent="0.2">
      <c r="A670" s="1" t="s">
        <v>246</v>
      </c>
      <c r="B670" s="27" t="s">
        <v>264</v>
      </c>
      <c r="C670" s="74"/>
      <c r="D670" s="75"/>
      <c r="E670" s="261"/>
      <c r="F670" s="304"/>
    </row>
    <row r="671" spans="1:8" ht="15.75" customHeight="1" x14ac:dyDescent="0.2">
      <c r="B671" s="17" t="s">
        <v>61</v>
      </c>
      <c r="D671" s="18"/>
      <c r="E671" s="261"/>
      <c r="F671" s="304"/>
    </row>
    <row r="672" spans="1:8" ht="14.25" x14ac:dyDescent="0.2">
      <c r="B672" s="20" t="s">
        <v>62</v>
      </c>
      <c r="C672" s="3" t="s">
        <v>48</v>
      </c>
      <c r="D672" s="18">
        <f t="shared" ref="D672:D677" si="35">0.2*0.2*G603</f>
        <v>0.20000000000000004</v>
      </c>
      <c r="E672" s="261"/>
      <c r="F672" s="304">
        <f t="shared" si="29"/>
        <v>0</v>
      </c>
    </row>
    <row r="673" spans="2:6" ht="14.25" x14ac:dyDescent="0.2">
      <c r="B673" s="20" t="s">
        <v>63</v>
      </c>
      <c r="C673" s="3" t="s">
        <v>48</v>
      </c>
      <c r="D673" s="18">
        <f t="shared" si="35"/>
        <v>0.20000000000000004</v>
      </c>
      <c r="E673" s="261"/>
      <c r="F673" s="304">
        <f t="shared" si="29"/>
        <v>0</v>
      </c>
    </row>
    <row r="674" spans="2:6" ht="14.25" x14ac:dyDescent="0.2">
      <c r="B674" s="20" t="s">
        <v>64</v>
      </c>
      <c r="C674" s="3" t="s">
        <v>48</v>
      </c>
      <c r="D674" s="18">
        <f t="shared" si="35"/>
        <v>0.20000000000000004</v>
      </c>
      <c r="E674" s="261"/>
      <c r="F674" s="304">
        <f t="shared" si="29"/>
        <v>0</v>
      </c>
    </row>
    <row r="675" spans="2:6" ht="14.25" x14ac:dyDescent="0.2">
      <c r="B675" s="20" t="s">
        <v>65</v>
      </c>
      <c r="C675" s="3" t="s">
        <v>48</v>
      </c>
      <c r="D675" s="18">
        <f t="shared" si="35"/>
        <v>0.20000000000000004</v>
      </c>
      <c r="E675" s="261"/>
      <c r="F675" s="304">
        <f t="shared" si="29"/>
        <v>0</v>
      </c>
    </row>
    <row r="676" spans="2:6" ht="14.25" x14ac:dyDescent="0.2">
      <c r="B676" s="20" t="s">
        <v>66</v>
      </c>
      <c r="C676" s="3" t="s">
        <v>48</v>
      </c>
      <c r="D676" s="18">
        <f t="shared" si="35"/>
        <v>0.20000000000000004</v>
      </c>
      <c r="E676" s="261"/>
      <c r="F676" s="304">
        <f t="shared" si="29"/>
        <v>0</v>
      </c>
    </row>
    <row r="677" spans="2:6" ht="14.25" x14ac:dyDescent="0.2">
      <c r="B677" s="20" t="s">
        <v>67</v>
      </c>
      <c r="C677" s="3" t="s">
        <v>48</v>
      </c>
      <c r="D677" s="18">
        <f t="shared" si="35"/>
        <v>0.20000000000000004</v>
      </c>
      <c r="E677" s="261"/>
      <c r="F677" s="304">
        <f t="shared" si="29"/>
        <v>0</v>
      </c>
    </row>
    <row r="678" spans="2:6" x14ac:dyDescent="0.2">
      <c r="B678" s="20"/>
      <c r="D678" s="18"/>
      <c r="E678" s="261"/>
      <c r="F678" s="304"/>
    </row>
    <row r="679" spans="2:6" x14ac:dyDescent="0.2">
      <c r="B679" s="17" t="s">
        <v>68</v>
      </c>
      <c r="D679" s="18"/>
      <c r="E679" s="261"/>
      <c r="F679" s="304"/>
    </row>
    <row r="680" spans="2:6" ht="14.25" x14ac:dyDescent="0.2">
      <c r="B680" s="20" t="s">
        <v>69</v>
      </c>
      <c r="C680" s="3" t="s">
        <v>48</v>
      </c>
      <c r="D680" s="18">
        <f t="shared" ref="D680:D685" si="36">0.2*0.2*G611</f>
        <v>8.0000000000000016E-2</v>
      </c>
      <c r="E680" s="261"/>
      <c r="F680" s="304">
        <f t="shared" si="29"/>
        <v>0</v>
      </c>
    </row>
    <row r="681" spans="2:6" ht="14.25" x14ac:dyDescent="0.2">
      <c r="B681" s="20" t="s">
        <v>70</v>
      </c>
      <c r="C681" s="3" t="s">
        <v>48</v>
      </c>
      <c r="D681" s="18">
        <f t="shared" si="36"/>
        <v>8.0000000000000016E-2</v>
      </c>
      <c r="E681" s="261"/>
      <c r="F681" s="304">
        <f t="shared" si="29"/>
        <v>0</v>
      </c>
    </row>
    <row r="682" spans="2:6" ht="14.25" x14ac:dyDescent="0.2">
      <c r="B682" s="20" t="s">
        <v>71</v>
      </c>
      <c r="C682" s="3" t="s">
        <v>48</v>
      </c>
      <c r="D682" s="18">
        <f t="shared" si="36"/>
        <v>8.0000000000000016E-2</v>
      </c>
      <c r="E682" s="261"/>
      <c r="F682" s="304">
        <f t="shared" si="29"/>
        <v>0</v>
      </c>
    </row>
    <row r="683" spans="2:6" ht="14.25" x14ac:dyDescent="0.2">
      <c r="B683" s="20" t="s">
        <v>72</v>
      </c>
      <c r="C683" s="3" t="s">
        <v>48</v>
      </c>
      <c r="D683" s="18">
        <f t="shared" si="36"/>
        <v>8.0000000000000016E-2</v>
      </c>
      <c r="E683" s="261"/>
      <c r="F683" s="304">
        <f t="shared" si="29"/>
        <v>0</v>
      </c>
    </row>
    <row r="684" spans="2:6" ht="14.25" x14ac:dyDescent="0.2">
      <c r="B684" s="20" t="s">
        <v>73</v>
      </c>
      <c r="C684" s="3" t="s">
        <v>48</v>
      </c>
      <c r="D684" s="18">
        <f t="shared" si="36"/>
        <v>8.0000000000000016E-2</v>
      </c>
      <c r="E684" s="261"/>
      <c r="F684" s="304">
        <f t="shared" si="29"/>
        <v>0</v>
      </c>
    </row>
    <row r="685" spans="2:6" ht="14.25" x14ac:dyDescent="0.2">
      <c r="B685" s="20" t="s">
        <v>74</v>
      </c>
      <c r="C685" s="3" t="s">
        <v>48</v>
      </c>
      <c r="D685" s="18">
        <f t="shared" si="36"/>
        <v>8.0000000000000016E-2</v>
      </c>
      <c r="E685" s="261"/>
      <c r="F685" s="304">
        <f t="shared" si="29"/>
        <v>0</v>
      </c>
    </row>
    <row r="686" spans="2:6" x14ac:dyDescent="0.2">
      <c r="B686" s="20"/>
      <c r="D686" s="18"/>
      <c r="E686" s="261"/>
      <c r="F686" s="304"/>
    </row>
    <row r="687" spans="2:6" ht="25.5" x14ac:dyDescent="0.2">
      <c r="B687" s="17" t="s">
        <v>75</v>
      </c>
      <c r="D687" s="18"/>
      <c r="E687" s="261"/>
      <c r="F687" s="304"/>
    </row>
    <row r="688" spans="2:6" ht="14.25" x14ac:dyDescent="0.2">
      <c r="B688" s="20" t="s">
        <v>62</v>
      </c>
      <c r="C688" s="3" t="s">
        <v>48</v>
      </c>
      <c r="D688" s="18">
        <f>0.2*0.2*G619</f>
        <v>0.20000000000000004</v>
      </c>
      <c r="E688" s="261"/>
      <c r="F688" s="304">
        <f t="shared" si="29"/>
        <v>0</v>
      </c>
    </row>
    <row r="689" spans="2:13" ht="14.25" x14ac:dyDescent="0.2">
      <c r="B689" s="20" t="s">
        <v>76</v>
      </c>
      <c r="C689" s="3" t="s">
        <v>48</v>
      </c>
      <c r="D689" s="18">
        <f>0.2*0.2*G620</f>
        <v>0.20000000000000004</v>
      </c>
      <c r="E689" s="261"/>
      <c r="F689" s="304">
        <f t="shared" si="29"/>
        <v>0</v>
      </c>
    </row>
    <row r="690" spans="2:13" ht="14.25" x14ac:dyDescent="0.2">
      <c r="B690" s="20" t="s">
        <v>65</v>
      </c>
      <c r="C690" s="3" t="s">
        <v>48</v>
      </c>
      <c r="D690" s="18">
        <f>0.2*0.2*G621</f>
        <v>0.20000000000000004</v>
      </c>
      <c r="E690" s="261"/>
      <c r="F690" s="304">
        <f t="shared" si="29"/>
        <v>0</v>
      </c>
    </row>
    <row r="691" spans="2:13" ht="14.25" x14ac:dyDescent="0.2">
      <c r="B691" s="20" t="s">
        <v>66</v>
      </c>
      <c r="C691" s="3" t="s">
        <v>48</v>
      </c>
      <c r="D691" s="18">
        <f>0.2*0.2*G622</f>
        <v>0.20000000000000004</v>
      </c>
      <c r="E691" s="261"/>
      <c r="F691" s="304">
        <f t="shared" si="29"/>
        <v>0</v>
      </c>
    </row>
    <row r="692" spans="2:13" ht="14.25" x14ac:dyDescent="0.2">
      <c r="B692" s="20" t="s">
        <v>67</v>
      </c>
      <c r="C692" s="3" t="s">
        <v>48</v>
      </c>
      <c r="D692" s="18">
        <f>0.2*0.2*G623</f>
        <v>0.20000000000000004</v>
      </c>
      <c r="E692" s="261"/>
      <c r="F692" s="304">
        <f t="shared" si="29"/>
        <v>0</v>
      </c>
    </row>
    <row r="693" spans="2:13" x14ac:dyDescent="0.2">
      <c r="B693" s="20"/>
      <c r="D693" s="18"/>
      <c r="E693" s="261"/>
      <c r="F693" s="304"/>
    </row>
    <row r="694" spans="2:13" ht="25.5" x14ac:dyDescent="0.2">
      <c r="B694" s="17" t="s">
        <v>77</v>
      </c>
      <c r="D694" s="18"/>
      <c r="E694" s="261"/>
      <c r="F694" s="304"/>
    </row>
    <row r="695" spans="2:13" ht="14.25" x14ac:dyDescent="0.2">
      <c r="B695" s="20" t="s">
        <v>69</v>
      </c>
      <c r="C695" s="3" t="s">
        <v>48</v>
      </c>
      <c r="D695" s="18">
        <f t="shared" ref="D695:D728" si="37">0.2*0.2*G628</f>
        <v>0.20000000000000004</v>
      </c>
      <c r="E695" s="261"/>
      <c r="F695" s="304">
        <f t="shared" ref="F695:F756" si="38">ROUND(D695*E695,2)</f>
        <v>0</v>
      </c>
    </row>
    <row r="696" spans="2:13" ht="14.25" x14ac:dyDescent="0.2">
      <c r="B696" s="20" t="s">
        <v>70</v>
      </c>
      <c r="C696" s="3" t="s">
        <v>48</v>
      </c>
      <c r="D696" s="18">
        <f t="shared" si="37"/>
        <v>0.20000000000000004</v>
      </c>
      <c r="E696" s="261"/>
      <c r="F696" s="304">
        <f t="shared" si="38"/>
        <v>0</v>
      </c>
    </row>
    <row r="697" spans="2:13" ht="14.25" x14ac:dyDescent="0.2">
      <c r="B697" s="20" t="s">
        <v>71</v>
      </c>
      <c r="C697" s="3" t="s">
        <v>48</v>
      </c>
      <c r="D697" s="18">
        <f t="shared" si="37"/>
        <v>0.20000000000000004</v>
      </c>
      <c r="E697" s="261"/>
      <c r="F697" s="304">
        <f t="shared" si="38"/>
        <v>0</v>
      </c>
    </row>
    <row r="698" spans="2:13" ht="14.25" x14ac:dyDescent="0.2">
      <c r="B698" s="20" t="s">
        <v>72</v>
      </c>
      <c r="C698" s="3" t="s">
        <v>48</v>
      </c>
      <c r="D698" s="18">
        <f t="shared" si="37"/>
        <v>0.20000000000000004</v>
      </c>
      <c r="E698" s="261"/>
      <c r="F698" s="304">
        <f t="shared" si="38"/>
        <v>0</v>
      </c>
    </row>
    <row r="699" spans="2:13" ht="14.25" x14ac:dyDescent="0.2">
      <c r="B699" s="20" t="s">
        <v>73</v>
      </c>
      <c r="C699" s="3" t="s">
        <v>48</v>
      </c>
      <c r="D699" s="18">
        <f t="shared" si="37"/>
        <v>0.20000000000000004</v>
      </c>
      <c r="E699" s="261"/>
      <c r="F699" s="304">
        <f t="shared" si="38"/>
        <v>0</v>
      </c>
    </row>
    <row r="700" spans="2:13" ht="14.25" x14ac:dyDescent="0.2">
      <c r="B700" s="20" t="s">
        <v>74</v>
      </c>
      <c r="C700" s="3" t="s">
        <v>48</v>
      </c>
      <c r="D700" s="18">
        <f t="shared" si="37"/>
        <v>0.20000000000000004</v>
      </c>
      <c r="E700" s="261"/>
      <c r="F700" s="304">
        <f t="shared" si="38"/>
        <v>0</v>
      </c>
    </row>
    <row r="701" spans="2:13" x14ac:dyDescent="0.2">
      <c r="B701" s="20"/>
      <c r="D701" s="18"/>
      <c r="E701" s="261"/>
      <c r="F701" s="304"/>
    </row>
    <row r="702" spans="2:13" x14ac:dyDescent="0.2">
      <c r="B702" s="17" t="s">
        <v>78</v>
      </c>
      <c r="D702" s="18"/>
      <c r="E702" s="261"/>
      <c r="F702" s="304"/>
      <c r="H702" s="324"/>
      <c r="I702" s="324"/>
      <c r="J702" s="324"/>
      <c r="K702" s="324"/>
      <c r="L702" s="324"/>
      <c r="M702" s="324"/>
    </row>
    <row r="703" spans="2:13" ht="14.25" x14ac:dyDescent="0.2">
      <c r="B703" s="20" t="s">
        <v>62</v>
      </c>
      <c r="C703" s="3" t="s">
        <v>48</v>
      </c>
      <c r="D703" s="18">
        <f t="shared" si="37"/>
        <v>0.20000000000000004</v>
      </c>
      <c r="E703" s="261"/>
      <c r="F703" s="304">
        <f t="shared" si="38"/>
        <v>0</v>
      </c>
      <c r="H703" s="324"/>
      <c r="I703" s="324"/>
      <c r="J703" s="324"/>
      <c r="K703" s="324"/>
      <c r="L703" s="324"/>
      <c r="M703" s="324"/>
    </row>
    <row r="704" spans="2:13" ht="14.25" x14ac:dyDescent="0.2">
      <c r="B704" s="20" t="s">
        <v>76</v>
      </c>
      <c r="C704" s="3" t="s">
        <v>48</v>
      </c>
      <c r="D704" s="18">
        <f t="shared" si="37"/>
        <v>0.20000000000000004</v>
      </c>
      <c r="E704" s="261"/>
      <c r="F704" s="304">
        <f t="shared" si="38"/>
        <v>0</v>
      </c>
      <c r="H704" s="324"/>
      <c r="I704" s="324"/>
      <c r="J704" s="324"/>
      <c r="K704" s="324"/>
      <c r="L704" s="324"/>
      <c r="M704" s="324"/>
    </row>
    <row r="705" spans="2:13" ht="14.25" x14ac:dyDescent="0.2">
      <c r="B705" s="20" t="s">
        <v>65</v>
      </c>
      <c r="C705" s="3" t="s">
        <v>48</v>
      </c>
      <c r="D705" s="18">
        <f t="shared" si="37"/>
        <v>0.20000000000000004</v>
      </c>
      <c r="E705" s="261"/>
      <c r="F705" s="304">
        <f t="shared" si="38"/>
        <v>0</v>
      </c>
      <c r="H705" s="324"/>
      <c r="I705" s="324"/>
      <c r="J705" s="324"/>
      <c r="K705" s="324"/>
      <c r="L705" s="324"/>
      <c r="M705" s="324"/>
    </row>
    <row r="706" spans="2:13" ht="14.25" x14ac:dyDescent="0.2">
      <c r="B706" s="20" t="s">
        <v>66</v>
      </c>
      <c r="C706" s="3" t="s">
        <v>48</v>
      </c>
      <c r="D706" s="18">
        <f t="shared" si="37"/>
        <v>0.20000000000000004</v>
      </c>
      <c r="E706" s="261"/>
      <c r="F706" s="304">
        <f t="shared" si="38"/>
        <v>0</v>
      </c>
      <c r="H706" s="324"/>
      <c r="I706" s="324"/>
      <c r="J706" s="324"/>
      <c r="K706" s="324"/>
      <c r="L706" s="324"/>
      <c r="M706" s="324"/>
    </row>
    <row r="707" spans="2:13" ht="14.25" x14ac:dyDescent="0.2">
      <c r="B707" s="20" t="s">
        <v>67</v>
      </c>
      <c r="C707" s="3" t="s">
        <v>48</v>
      </c>
      <c r="D707" s="18">
        <f t="shared" si="37"/>
        <v>0.20000000000000004</v>
      </c>
      <c r="E707" s="261"/>
      <c r="F707" s="304">
        <f t="shared" si="38"/>
        <v>0</v>
      </c>
      <c r="H707" s="324"/>
      <c r="I707" s="324"/>
      <c r="J707" s="324"/>
      <c r="K707" s="324"/>
      <c r="L707" s="324"/>
      <c r="M707" s="324"/>
    </row>
    <row r="708" spans="2:13" x14ac:dyDescent="0.2">
      <c r="B708" s="20"/>
      <c r="D708" s="18"/>
      <c r="E708" s="261"/>
      <c r="F708" s="304"/>
      <c r="H708" s="324"/>
      <c r="I708" s="324"/>
      <c r="J708" s="324"/>
      <c r="K708" s="324"/>
      <c r="L708" s="324"/>
      <c r="M708" s="324"/>
    </row>
    <row r="709" spans="2:13" x14ac:dyDescent="0.2">
      <c r="B709" s="17" t="s">
        <v>79</v>
      </c>
      <c r="D709" s="18"/>
      <c r="E709" s="261"/>
      <c r="F709" s="304"/>
    </row>
    <row r="710" spans="2:13" ht="14.25" x14ac:dyDescent="0.2">
      <c r="B710" s="20" t="s">
        <v>69</v>
      </c>
      <c r="C710" s="3" t="s">
        <v>48</v>
      </c>
      <c r="D710" s="18">
        <f t="shared" si="37"/>
        <v>0.20000000000000004</v>
      </c>
      <c r="E710" s="261"/>
      <c r="F710" s="304">
        <f t="shared" si="38"/>
        <v>0</v>
      </c>
    </row>
    <row r="711" spans="2:13" ht="14.25" x14ac:dyDescent="0.2">
      <c r="B711" s="20" t="s">
        <v>70</v>
      </c>
      <c r="C711" s="3" t="s">
        <v>48</v>
      </c>
      <c r="D711" s="18">
        <f t="shared" si="37"/>
        <v>0.20000000000000004</v>
      </c>
      <c r="E711" s="261"/>
      <c r="F711" s="304">
        <f t="shared" si="38"/>
        <v>0</v>
      </c>
    </row>
    <row r="712" spans="2:13" ht="14.25" x14ac:dyDescent="0.2">
      <c r="B712" s="20" t="s">
        <v>71</v>
      </c>
      <c r="C712" s="3" t="s">
        <v>48</v>
      </c>
      <c r="D712" s="18">
        <f t="shared" si="37"/>
        <v>0.20000000000000004</v>
      </c>
      <c r="E712" s="261"/>
      <c r="F712" s="304">
        <f t="shared" si="38"/>
        <v>0</v>
      </c>
    </row>
    <row r="713" spans="2:13" ht="14.25" x14ac:dyDescent="0.2">
      <c r="B713" s="20" t="s">
        <v>80</v>
      </c>
      <c r="C713" s="3" t="s">
        <v>48</v>
      </c>
      <c r="D713" s="18">
        <f t="shared" si="37"/>
        <v>0.20000000000000004</v>
      </c>
      <c r="E713" s="261"/>
      <c r="F713" s="304">
        <f t="shared" si="38"/>
        <v>0</v>
      </c>
    </row>
    <row r="714" spans="2:13" ht="14.25" x14ac:dyDescent="0.2">
      <c r="B714" s="20" t="s">
        <v>74</v>
      </c>
      <c r="C714" s="3" t="s">
        <v>48</v>
      </c>
      <c r="D714" s="18">
        <f t="shared" si="37"/>
        <v>0.20000000000000004</v>
      </c>
      <c r="E714" s="261"/>
      <c r="F714" s="304">
        <f t="shared" si="38"/>
        <v>0</v>
      </c>
    </row>
    <row r="715" spans="2:13" x14ac:dyDescent="0.2">
      <c r="B715" s="20"/>
      <c r="D715" s="18"/>
      <c r="E715" s="261"/>
      <c r="F715" s="304"/>
    </row>
    <row r="716" spans="2:13" x14ac:dyDescent="0.2">
      <c r="B716" s="17" t="s">
        <v>81</v>
      </c>
      <c r="D716" s="18"/>
      <c r="E716" s="261"/>
      <c r="F716" s="304"/>
    </row>
    <row r="717" spans="2:13" ht="14.25" x14ac:dyDescent="0.2">
      <c r="B717" s="20" t="s">
        <v>62</v>
      </c>
      <c r="C717" s="3" t="s">
        <v>48</v>
      </c>
      <c r="D717" s="18">
        <f t="shared" si="37"/>
        <v>0.20000000000000004</v>
      </c>
      <c r="E717" s="261"/>
      <c r="F717" s="304">
        <f t="shared" si="38"/>
        <v>0</v>
      </c>
    </row>
    <row r="718" spans="2:13" ht="14.25" x14ac:dyDescent="0.2">
      <c r="B718" s="20" t="s">
        <v>76</v>
      </c>
      <c r="C718" s="3" t="s">
        <v>48</v>
      </c>
      <c r="D718" s="18">
        <f t="shared" si="37"/>
        <v>0.20000000000000004</v>
      </c>
      <c r="E718" s="261"/>
      <c r="F718" s="304">
        <f t="shared" si="38"/>
        <v>0</v>
      </c>
    </row>
    <row r="719" spans="2:13" ht="14.25" x14ac:dyDescent="0.2">
      <c r="B719" s="20" t="s">
        <v>65</v>
      </c>
      <c r="C719" s="3" t="s">
        <v>48</v>
      </c>
      <c r="D719" s="18">
        <f t="shared" si="37"/>
        <v>0.20000000000000004</v>
      </c>
      <c r="E719" s="261"/>
      <c r="F719" s="304">
        <f t="shared" si="38"/>
        <v>0</v>
      </c>
    </row>
    <row r="720" spans="2:13" ht="14.25" x14ac:dyDescent="0.2">
      <c r="B720" s="20" t="s">
        <v>66</v>
      </c>
      <c r="C720" s="3" t="s">
        <v>48</v>
      </c>
      <c r="D720" s="18">
        <f t="shared" si="37"/>
        <v>0.20000000000000004</v>
      </c>
      <c r="E720" s="261"/>
      <c r="F720" s="304">
        <f t="shared" si="38"/>
        <v>0</v>
      </c>
    </row>
    <row r="721" spans="2:6" ht="14.25" x14ac:dyDescent="0.2">
      <c r="B721" s="20" t="s">
        <v>67</v>
      </c>
      <c r="C721" s="3" t="s">
        <v>48</v>
      </c>
      <c r="D721" s="18">
        <f t="shared" si="37"/>
        <v>0.20000000000000004</v>
      </c>
      <c r="E721" s="261"/>
      <c r="F721" s="304">
        <f t="shared" si="38"/>
        <v>0</v>
      </c>
    </row>
    <row r="722" spans="2:6" x14ac:dyDescent="0.2">
      <c r="B722" s="20"/>
      <c r="D722" s="18"/>
      <c r="E722" s="261"/>
      <c r="F722" s="304"/>
    </row>
    <row r="723" spans="2:6" x14ac:dyDescent="0.2">
      <c r="B723" s="17" t="s">
        <v>82</v>
      </c>
      <c r="D723" s="18"/>
      <c r="E723" s="261"/>
      <c r="F723" s="304"/>
    </row>
    <row r="724" spans="2:6" ht="14.25" x14ac:dyDescent="0.2">
      <c r="B724" s="20" t="s">
        <v>69</v>
      </c>
      <c r="C724" s="3" t="s">
        <v>48</v>
      </c>
      <c r="D724" s="18">
        <f t="shared" si="37"/>
        <v>0.20000000000000004</v>
      </c>
      <c r="E724" s="261"/>
      <c r="F724" s="304">
        <f t="shared" si="38"/>
        <v>0</v>
      </c>
    </row>
    <row r="725" spans="2:6" ht="14.25" x14ac:dyDescent="0.2">
      <c r="B725" s="20" t="s">
        <v>70</v>
      </c>
      <c r="C725" s="3" t="s">
        <v>48</v>
      </c>
      <c r="D725" s="18">
        <f t="shared" si="37"/>
        <v>0.20000000000000004</v>
      </c>
      <c r="E725" s="261"/>
      <c r="F725" s="304">
        <f t="shared" si="38"/>
        <v>0</v>
      </c>
    </row>
    <row r="726" spans="2:6" ht="14.25" x14ac:dyDescent="0.2">
      <c r="B726" s="20" t="s">
        <v>71</v>
      </c>
      <c r="C726" s="3" t="s">
        <v>48</v>
      </c>
      <c r="D726" s="18">
        <f t="shared" si="37"/>
        <v>0.20000000000000004</v>
      </c>
      <c r="E726" s="261"/>
      <c r="F726" s="304">
        <f t="shared" si="38"/>
        <v>0</v>
      </c>
    </row>
    <row r="727" spans="2:6" ht="14.25" x14ac:dyDescent="0.2">
      <c r="B727" s="20" t="s">
        <v>80</v>
      </c>
      <c r="C727" s="3" t="s">
        <v>48</v>
      </c>
      <c r="D727" s="18">
        <f t="shared" si="37"/>
        <v>0.20000000000000004</v>
      </c>
      <c r="E727" s="261"/>
      <c r="F727" s="304">
        <f t="shared" si="38"/>
        <v>0</v>
      </c>
    </row>
    <row r="728" spans="2:6" ht="14.25" x14ac:dyDescent="0.2">
      <c r="B728" s="20" t="s">
        <v>74</v>
      </c>
      <c r="C728" s="3" t="s">
        <v>48</v>
      </c>
      <c r="D728" s="18">
        <f t="shared" si="37"/>
        <v>0.20000000000000004</v>
      </c>
      <c r="E728" s="261"/>
      <c r="F728" s="304">
        <f t="shared" si="38"/>
        <v>0</v>
      </c>
    </row>
    <row r="729" spans="2:6" x14ac:dyDescent="0.2">
      <c r="B729" s="17" t="s">
        <v>83</v>
      </c>
      <c r="D729" s="18"/>
      <c r="E729" s="261"/>
      <c r="F729" s="304"/>
    </row>
    <row r="730" spans="2:6" ht="14.25" x14ac:dyDescent="0.2">
      <c r="B730" s="20" t="s">
        <v>62</v>
      </c>
      <c r="C730" s="3" t="s">
        <v>48</v>
      </c>
      <c r="D730" s="18">
        <f>0.2*0.2*G664</f>
        <v>0.20000000000000004</v>
      </c>
      <c r="E730" s="261"/>
      <c r="F730" s="304">
        <f t="shared" si="38"/>
        <v>0</v>
      </c>
    </row>
    <row r="731" spans="2:6" ht="14.25" x14ac:dyDescent="0.2">
      <c r="B731" s="20" t="s">
        <v>76</v>
      </c>
      <c r="C731" s="3" t="s">
        <v>48</v>
      </c>
      <c r="D731" s="18">
        <f>0.2*0.2*G665</f>
        <v>0.20000000000000004</v>
      </c>
      <c r="E731" s="261"/>
      <c r="F731" s="304">
        <f t="shared" si="38"/>
        <v>0</v>
      </c>
    </row>
    <row r="732" spans="2:6" ht="14.25" x14ac:dyDescent="0.2">
      <c r="B732" s="20" t="s">
        <v>65</v>
      </c>
      <c r="C732" s="3" t="s">
        <v>48</v>
      </c>
      <c r="D732" s="18">
        <f>0.2*0.2*G666</f>
        <v>0.20000000000000004</v>
      </c>
      <c r="E732" s="261"/>
      <c r="F732" s="304">
        <f t="shared" si="38"/>
        <v>0</v>
      </c>
    </row>
    <row r="733" spans="2:6" ht="14.25" x14ac:dyDescent="0.2">
      <c r="B733" s="20" t="s">
        <v>66</v>
      </c>
      <c r="C733" s="3" t="s">
        <v>48</v>
      </c>
      <c r="D733" s="18">
        <f>0.2*0.2*G667</f>
        <v>0.20000000000000004</v>
      </c>
      <c r="E733" s="261"/>
      <c r="F733" s="304">
        <f t="shared" si="38"/>
        <v>0</v>
      </c>
    </row>
    <row r="734" spans="2:6" ht="14.25" x14ac:dyDescent="0.2">
      <c r="B734" s="20" t="s">
        <v>67</v>
      </c>
      <c r="C734" s="3" t="s">
        <v>48</v>
      </c>
      <c r="D734" s="18">
        <f>0.2*0.2*G668</f>
        <v>0.20000000000000004</v>
      </c>
      <c r="E734" s="261"/>
      <c r="F734" s="304">
        <f t="shared" si="38"/>
        <v>0</v>
      </c>
    </row>
    <row r="735" spans="2:6" x14ac:dyDescent="0.2">
      <c r="B735" s="20"/>
      <c r="D735" s="18"/>
      <c r="E735" s="261"/>
      <c r="F735" s="304"/>
    </row>
    <row r="736" spans="2:6" x14ac:dyDescent="0.2">
      <c r="B736" s="26" t="s">
        <v>93</v>
      </c>
      <c r="E736" s="259"/>
      <c r="F736" s="304"/>
    </row>
    <row r="737" spans="1:6" ht="211.5" customHeight="1" x14ac:dyDescent="0.2">
      <c r="A737" s="1" t="s">
        <v>59</v>
      </c>
      <c r="B737" s="60" t="s">
        <v>265</v>
      </c>
      <c r="C737" s="74"/>
      <c r="D737" s="78"/>
      <c r="E737" s="259"/>
      <c r="F737" s="304"/>
    </row>
    <row r="738" spans="1:6" ht="14.25" x14ac:dyDescent="0.2">
      <c r="A738" s="1" t="s">
        <v>266</v>
      </c>
      <c r="B738" s="28" t="s">
        <v>98</v>
      </c>
      <c r="C738" s="3" t="s">
        <v>48</v>
      </c>
      <c r="D738" s="18">
        <f>17.35*6.65*0.1</f>
        <v>11.537750000000003</v>
      </c>
      <c r="E738" s="259"/>
      <c r="F738" s="304">
        <f t="shared" si="38"/>
        <v>0</v>
      </c>
    </row>
    <row r="739" spans="1:6" ht="14.25" x14ac:dyDescent="0.2">
      <c r="A739" s="1" t="s">
        <v>267</v>
      </c>
      <c r="B739" s="28" t="s">
        <v>100</v>
      </c>
      <c r="C739" s="3" t="s">
        <v>48</v>
      </c>
      <c r="D739" s="18">
        <f>17.35*4*0.1</f>
        <v>6.9400000000000013</v>
      </c>
      <c r="E739" s="259"/>
      <c r="F739" s="304">
        <f t="shared" si="38"/>
        <v>0</v>
      </c>
    </row>
    <row r="740" spans="1:6" ht="14.25" x14ac:dyDescent="0.2">
      <c r="A740" s="1" t="s">
        <v>268</v>
      </c>
      <c r="B740" s="28" t="s">
        <v>102</v>
      </c>
      <c r="C740" s="3" t="s">
        <v>48</v>
      </c>
      <c r="D740" s="18">
        <f>14.15*6.65*0.1</f>
        <v>9.4097500000000007</v>
      </c>
      <c r="E740" s="259"/>
      <c r="F740" s="304">
        <f t="shared" si="38"/>
        <v>0</v>
      </c>
    </row>
    <row r="741" spans="1:6" x14ac:dyDescent="0.2">
      <c r="B741" s="20"/>
      <c r="D741" s="18"/>
      <c r="E741" s="259"/>
      <c r="F741" s="304"/>
    </row>
    <row r="742" spans="1:6" ht="14.25" x14ac:dyDescent="0.2">
      <c r="A742" s="1" t="s">
        <v>269</v>
      </c>
      <c r="B742" s="28" t="s">
        <v>98</v>
      </c>
      <c r="C742" s="3" t="s">
        <v>48</v>
      </c>
      <c r="D742" s="18">
        <f>17.35*6.65*0.1</f>
        <v>11.537750000000003</v>
      </c>
      <c r="E742" s="259"/>
      <c r="F742" s="304">
        <f t="shared" si="38"/>
        <v>0</v>
      </c>
    </row>
    <row r="743" spans="1:6" ht="14.25" x14ac:dyDescent="0.2">
      <c r="A743" s="1" t="s">
        <v>270</v>
      </c>
      <c r="B743" s="28" t="s">
        <v>106</v>
      </c>
      <c r="C743" s="3" t="s">
        <v>48</v>
      </c>
      <c r="D743" s="18">
        <f>17.35*4*0.1</f>
        <v>6.9400000000000013</v>
      </c>
      <c r="E743" s="259"/>
      <c r="F743" s="304">
        <f t="shared" si="38"/>
        <v>0</v>
      </c>
    </row>
    <row r="744" spans="1:6" ht="14.25" x14ac:dyDescent="0.2">
      <c r="A744" s="1" t="s">
        <v>271</v>
      </c>
      <c r="B744" s="28" t="s">
        <v>102</v>
      </c>
      <c r="C744" s="3" t="s">
        <v>48</v>
      </c>
      <c r="D744" s="18">
        <f>14.15*6.65*0.1</f>
        <v>9.4097500000000007</v>
      </c>
      <c r="E744" s="259"/>
      <c r="F744" s="304">
        <f t="shared" si="38"/>
        <v>0</v>
      </c>
    </row>
    <row r="745" spans="1:6" x14ac:dyDescent="0.2">
      <c r="B745" s="8"/>
      <c r="D745" s="18"/>
      <c r="E745" s="259"/>
      <c r="F745" s="304"/>
    </row>
    <row r="746" spans="1:6" ht="14.25" x14ac:dyDescent="0.2">
      <c r="A746" s="1" t="s">
        <v>272</v>
      </c>
      <c r="B746" s="28" t="s">
        <v>100</v>
      </c>
      <c r="C746" s="3" t="s">
        <v>48</v>
      </c>
      <c r="D746" s="18">
        <f>17.35*4.45*0.1</f>
        <v>7.7207500000000016</v>
      </c>
      <c r="E746" s="259"/>
      <c r="F746" s="304">
        <f t="shared" si="38"/>
        <v>0</v>
      </c>
    </row>
    <row r="747" spans="1:6" ht="14.25" x14ac:dyDescent="0.2">
      <c r="A747" s="1" t="s">
        <v>273</v>
      </c>
      <c r="B747" s="28" t="s">
        <v>111</v>
      </c>
      <c r="C747" s="3" t="s">
        <v>48</v>
      </c>
      <c r="D747" s="18">
        <f>17.35*2.8*0.1</f>
        <v>4.8580000000000005</v>
      </c>
      <c r="E747" s="259"/>
      <c r="F747" s="304">
        <f t="shared" si="38"/>
        <v>0</v>
      </c>
    </row>
    <row r="748" spans="1:6" ht="14.25" x14ac:dyDescent="0.2">
      <c r="A748" s="1" t="s">
        <v>274</v>
      </c>
      <c r="B748" s="28" t="s">
        <v>106</v>
      </c>
      <c r="C748" s="3" t="s">
        <v>48</v>
      </c>
      <c r="D748" s="18">
        <f>17.35*4.45*0.1</f>
        <v>7.7207500000000016</v>
      </c>
      <c r="E748" s="259"/>
      <c r="F748" s="304">
        <f t="shared" si="38"/>
        <v>0</v>
      </c>
    </row>
    <row r="749" spans="1:6" x14ac:dyDescent="0.2">
      <c r="B749" s="26"/>
      <c r="E749" s="259"/>
      <c r="F749" s="304"/>
    </row>
    <row r="750" spans="1:6" ht="131.25" customHeight="1" x14ac:dyDescent="0.2">
      <c r="A750" s="1" t="s">
        <v>88</v>
      </c>
      <c r="B750" s="27" t="s">
        <v>275</v>
      </c>
      <c r="D750" s="18"/>
      <c r="E750" s="261"/>
      <c r="F750" s="304"/>
    </row>
    <row r="751" spans="1:6" ht="14.25" x14ac:dyDescent="0.2">
      <c r="A751" s="1" t="s">
        <v>276</v>
      </c>
      <c r="B751" s="28" t="s">
        <v>98</v>
      </c>
      <c r="C751" s="3" t="s">
        <v>48</v>
      </c>
      <c r="D751" s="18">
        <f>17.35*6.65*0.1</f>
        <v>11.537750000000003</v>
      </c>
      <c r="E751" s="259"/>
      <c r="F751" s="304">
        <f t="shared" si="38"/>
        <v>0</v>
      </c>
    </row>
    <row r="752" spans="1:6" ht="14.25" x14ac:dyDescent="0.2">
      <c r="A752" s="1" t="s">
        <v>277</v>
      </c>
      <c r="B752" s="28" t="s">
        <v>100</v>
      </c>
      <c r="C752" s="3" t="s">
        <v>48</v>
      </c>
      <c r="D752" s="18">
        <f>17.35*4*0.1</f>
        <v>6.9400000000000013</v>
      </c>
      <c r="E752" s="259"/>
      <c r="F752" s="304">
        <f t="shared" si="38"/>
        <v>0</v>
      </c>
    </row>
    <row r="753" spans="1:6" ht="14.25" x14ac:dyDescent="0.2">
      <c r="A753" s="1" t="s">
        <v>278</v>
      </c>
      <c r="B753" s="28" t="s">
        <v>102</v>
      </c>
      <c r="C753" s="3" t="s">
        <v>48</v>
      </c>
      <c r="D753" s="18">
        <f>14.15*6.65*0.1</f>
        <v>9.4097500000000007</v>
      </c>
      <c r="E753" s="259"/>
      <c r="F753" s="304">
        <f t="shared" si="38"/>
        <v>0</v>
      </c>
    </row>
    <row r="754" spans="1:6" x14ac:dyDescent="0.2">
      <c r="B754" s="20"/>
      <c r="D754" s="18"/>
      <c r="E754" s="261"/>
      <c r="F754" s="304"/>
    </row>
    <row r="755" spans="1:6" ht="14.25" x14ac:dyDescent="0.2">
      <c r="A755" s="1" t="s">
        <v>279</v>
      </c>
      <c r="B755" s="28" t="s">
        <v>98</v>
      </c>
      <c r="C755" s="3" t="s">
        <v>48</v>
      </c>
      <c r="D755" s="18">
        <f>17.35*6.65*0.1</f>
        <v>11.537750000000003</v>
      </c>
      <c r="E755" s="259"/>
      <c r="F755" s="304">
        <f t="shared" si="38"/>
        <v>0</v>
      </c>
    </row>
    <row r="756" spans="1:6" ht="14.25" x14ac:dyDescent="0.2">
      <c r="A756" s="1" t="s">
        <v>280</v>
      </c>
      <c r="B756" s="28" t="s">
        <v>106</v>
      </c>
      <c r="C756" s="3" t="s">
        <v>48</v>
      </c>
      <c r="D756" s="18">
        <f>17.35*4*0.1</f>
        <v>6.9400000000000013</v>
      </c>
      <c r="E756" s="259"/>
      <c r="F756" s="304">
        <f t="shared" si="38"/>
        <v>0</v>
      </c>
    </row>
    <row r="757" spans="1:6" ht="14.25" x14ac:dyDescent="0.2">
      <c r="A757" s="1" t="s">
        <v>281</v>
      </c>
      <c r="B757" s="28" t="s">
        <v>102</v>
      </c>
      <c r="C757" s="3" t="s">
        <v>48</v>
      </c>
      <c r="D757" s="18">
        <f>14.15*6.65*0.1</f>
        <v>9.4097500000000007</v>
      </c>
      <c r="E757" s="259"/>
      <c r="F757" s="304">
        <f t="shared" ref="F757:F820" si="39">ROUND(D757*E757,2)</f>
        <v>0</v>
      </c>
    </row>
    <row r="758" spans="1:6" x14ac:dyDescent="0.2">
      <c r="B758" s="8"/>
      <c r="D758" s="18"/>
      <c r="E758" s="261"/>
      <c r="F758" s="304"/>
    </row>
    <row r="759" spans="1:6" ht="14.25" x14ac:dyDescent="0.2">
      <c r="A759" s="1" t="s">
        <v>282</v>
      </c>
      <c r="B759" s="28" t="s">
        <v>100</v>
      </c>
      <c r="C759" s="3" t="s">
        <v>48</v>
      </c>
      <c r="D759" s="18">
        <f>17.35*4.45*0.1</f>
        <v>7.7207500000000016</v>
      </c>
      <c r="E759" s="259"/>
      <c r="F759" s="304">
        <f t="shared" si="39"/>
        <v>0</v>
      </c>
    </row>
    <row r="760" spans="1:6" ht="14.25" x14ac:dyDescent="0.2">
      <c r="A760" s="1" t="s">
        <v>283</v>
      </c>
      <c r="B760" s="28" t="s">
        <v>111</v>
      </c>
      <c r="C760" s="3" t="s">
        <v>48</v>
      </c>
      <c r="D760" s="18">
        <f>17.35*2.8*0.1</f>
        <v>4.8580000000000005</v>
      </c>
      <c r="E760" s="259"/>
      <c r="F760" s="304">
        <f t="shared" si="39"/>
        <v>0</v>
      </c>
    </row>
    <row r="761" spans="1:6" ht="14.25" x14ac:dyDescent="0.2">
      <c r="A761" s="1" t="s">
        <v>284</v>
      </c>
      <c r="B761" s="28" t="s">
        <v>106</v>
      </c>
      <c r="C761" s="3" t="s">
        <v>48</v>
      </c>
      <c r="D761" s="18">
        <f>17.35*4.45*0.1</f>
        <v>7.7207500000000016</v>
      </c>
      <c r="E761" s="259"/>
      <c r="F761" s="304">
        <f t="shared" si="39"/>
        <v>0</v>
      </c>
    </row>
    <row r="762" spans="1:6" x14ac:dyDescent="0.2">
      <c r="B762" s="20"/>
      <c r="D762" s="18"/>
      <c r="E762" s="261"/>
      <c r="F762" s="304"/>
    </row>
    <row r="763" spans="1:6" ht="156.75" customHeight="1" x14ac:dyDescent="0.2">
      <c r="A763" s="1" t="s">
        <v>91</v>
      </c>
      <c r="B763" s="46" t="s">
        <v>285</v>
      </c>
      <c r="D763" s="18"/>
      <c r="E763" s="268"/>
      <c r="F763" s="304"/>
    </row>
    <row r="764" spans="1:6" ht="14.25" x14ac:dyDescent="0.2">
      <c r="A764" s="1" t="s">
        <v>286</v>
      </c>
      <c r="B764" s="28" t="s">
        <v>100</v>
      </c>
      <c r="C764" s="3" t="s">
        <v>48</v>
      </c>
      <c r="D764" s="18">
        <f>17.35*4.45*0.1</f>
        <v>7.7207500000000016</v>
      </c>
      <c r="E764" s="261"/>
      <c r="F764" s="304">
        <f t="shared" si="39"/>
        <v>0</v>
      </c>
    </row>
    <row r="765" spans="1:6" ht="14.25" x14ac:dyDescent="0.2">
      <c r="A765" s="1" t="s">
        <v>287</v>
      </c>
      <c r="B765" s="28" t="s">
        <v>111</v>
      </c>
      <c r="C765" s="3" t="s">
        <v>48</v>
      </c>
      <c r="D765" s="18">
        <f>17.35*2.8*0.1</f>
        <v>4.8580000000000005</v>
      </c>
      <c r="E765" s="261"/>
      <c r="F765" s="304">
        <f t="shared" si="39"/>
        <v>0</v>
      </c>
    </row>
    <row r="766" spans="1:6" ht="14.25" x14ac:dyDescent="0.2">
      <c r="A766" s="1" t="s">
        <v>288</v>
      </c>
      <c r="B766" s="28" t="s">
        <v>106</v>
      </c>
      <c r="C766" s="3" t="s">
        <v>48</v>
      </c>
      <c r="D766" s="18">
        <f>17.35*4.45*0.1</f>
        <v>7.7207500000000016</v>
      </c>
      <c r="E766" s="261"/>
      <c r="F766" s="304">
        <f t="shared" si="39"/>
        <v>0</v>
      </c>
    </row>
    <row r="767" spans="1:6" x14ac:dyDescent="0.2">
      <c r="B767" s="20"/>
      <c r="D767" s="18"/>
      <c r="E767" s="261"/>
      <c r="F767" s="304"/>
    </row>
    <row r="768" spans="1:6" ht="76.5" x14ac:dyDescent="0.2">
      <c r="A768" s="1" t="s">
        <v>94</v>
      </c>
      <c r="B768" s="27" t="s">
        <v>264</v>
      </c>
      <c r="D768" s="18"/>
      <c r="E768" s="261"/>
      <c r="F768" s="304"/>
    </row>
    <row r="769" spans="1:6" ht="14.25" x14ac:dyDescent="0.2">
      <c r="A769" s="1" t="s">
        <v>97</v>
      </c>
      <c r="B769" s="28" t="s">
        <v>98</v>
      </c>
      <c r="C769" s="3" t="s">
        <v>48</v>
      </c>
      <c r="D769" s="18">
        <f>17.35*6.65*0.1</f>
        <v>11.537750000000003</v>
      </c>
      <c r="E769" s="259"/>
      <c r="F769" s="304">
        <f t="shared" si="39"/>
        <v>0</v>
      </c>
    </row>
    <row r="770" spans="1:6" ht="14.25" x14ac:dyDescent="0.2">
      <c r="A770" s="1" t="s">
        <v>99</v>
      </c>
      <c r="B770" s="28" t="s">
        <v>100</v>
      </c>
      <c r="C770" s="3" t="s">
        <v>48</v>
      </c>
      <c r="D770" s="18">
        <f>17.35*4*0.1</f>
        <v>6.9400000000000013</v>
      </c>
      <c r="E770" s="259"/>
      <c r="F770" s="304">
        <f t="shared" si="39"/>
        <v>0</v>
      </c>
    </row>
    <row r="771" spans="1:6" ht="14.25" x14ac:dyDescent="0.2">
      <c r="A771" s="1" t="s">
        <v>101</v>
      </c>
      <c r="B771" s="28" t="s">
        <v>102</v>
      </c>
      <c r="C771" s="3" t="s">
        <v>48</v>
      </c>
      <c r="D771" s="18">
        <f>14.15*6.65*0.1</f>
        <v>9.4097500000000007</v>
      </c>
      <c r="E771" s="259"/>
      <c r="F771" s="304">
        <f t="shared" si="39"/>
        <v>0</v>
      </c>
    </row>
    <row r="772" spans="1:6" x14ac:dyDescent="0.2">
      <c r="B772" s="20"/>
      <c r="D772" s="18"/>
      <c r="E772" s="261"/>
      <c r="F772" s="304"/>
    </row>
    <row r="773" spans="1:6" ht="14.25" x14ac:dyDescent="0.2">
      <c r="A773" s="1" t="s">
        <v>104</v>
      </c>
      <c r="B773" s="28" t="s">
        <v>98</v>
      </c>
      <c r="C773" s="3" t="s">
        <v>48</v>
      </c>
      <c r="D773" s="18">
        <f>17.35*6.65*0.1</f>
        <v>11.537750000000003</v>
      </c>
      <c r="E773" s="259"/>
      <c r="F773" s="304">
        <f t="shared" si="39"/>
        <v>0</v>
      </c>
    </row>
    <row r="774" spans="1:6" ht="14.25" x14ac:dyDescent="0.2">
      <c r="A774" s="1" t="s">
        <v>105</v>
      </c>
      <c r="B774" s="28" t="s">
        <v>106</v>
      </c>
      <c r="C774" s="3" t="s">
        <v>48</v>
      </c>
      <c r="D774" s="18">
        <f>17.35*4*0.1</f>
        <v>6.9400000000000013</v>
      </c>
      <c r="E774" s="259"/>
      <c r="F774" s="304">
        <f t="shared" si="39"/>
        <v>0</v>
      </c>
    </row>
    <row r="775" spans="1:6" ht="14.25" x14ac:dyDescent="0.2">
      <c r="A775" s="1" t="s">
        <v>107</v>
      </c>
      <c r="B775" s="28" t="s">
        <v>102</v>
      </c>
      <c r="C775" s="3" t="s">
        <v>48</v>
      </c>
      <c r="D775" s="18">
        <f>14.15*6.65*0.1</f>
        <v>9.4097500000000007</v>
      </c>
      <c r="E775" s="259"/>
      <c r="F775" s="304">
        <f t="shared" si="39"/>
        <v>0</v>
      </c>
    </row>
    <row r="776" spans="1:6" x14ac:dyDescent="0.2">
      <c r="B776" s="20"/>
      <c r="D776" s="18"/>
      <c r="E776" s="261"/>
      <c r="F776" s="304"/>
    </row>
    <row r="777" spans="1:6" x14ac:dyDescent="0.2">
      <c r="B777" s="26" t="s">
        <v>181</v>
      </c>
      <c r="D777" s="18"/>
      <c r="E777" s="261"/>
      <c r="F777" s="304"/>
    </row>
    <row r="778" spans="1:6" ht="213.75" customHeight="1" x14ac:dyDescent="0.2">
      <c r="A778" s="1" t="s">
        <v>114</v>
      </c>
      <c r="B778" s="60" t="s">
        <v>289</v>
      </c>
      <c r="D778" s="18"/>
      <c r="E778" s="261"/>
      <c r="F778" s="304"/>
    </row>
    <row r="779" spans="1:6" x14ac:dyDescent="0.2">
      <c r="B779" s="79" t="s">
        <v>290</v>
      </c>
      <c r="E779" s="259"/>
      <c r="F779" s="304"/>
    </row>
    <row r="780" spans="1:6" ht="14.25" x14ac:dyDescent="0.2">
      <c r="A780" s="1" t="s">
        <v>116</v>
      </c>
      <c r="B780" s="20" t="s">
        <v>185</v>
      </c>
      <c r="C780" s="3" t="s">
        <v>48</v>
      </c>
      <c r="D780" s="54">
        <f>17*17.35*0.1</f>
        <v>29.495000000000005</v>
      </c>
      <c r="E780" s="259"/>
      <c r="F780" s="304">
        <f t="shared" si="39"/>
        <v>0</v>
      </c>
    </row>
    <row r="781" spans="1:6" x14ac:dyDescent="0.2">
      <c r="B781" s="20"/>
      <c r="D781" s="18"/>
      <c r="E781" s="259"/>
      <c r="F781" s="304"/>
    </row>
    <row r="782" spans="1:6" x14ac:dyDescent="0.2">
      <c r="B782" s="20"/>
      <c r="D782" s="18"/>
      <c r="E782" s="259"/>
      <c r="F782" s="304"/>
    </row>
    <row r="783" spans="1:6" x14ac:dyDescent="0.2">
      <c r="B783" s="20"/>
      <c r="D783" s="18"/>
      <c r="E783" s="259"/>
      <c r="F783" s="304"/>
    </row>
    <row r="784" spans="1:6" x14ac:dyDescent="0.2">
      <c r="B784" s="20"/>
      <c r="D784" s="18"/>
      <c r="E784" s="259"/>
      <c r="F784" s="304"/>
    </row>
    <row r="785" spans="1:6" x14ac:dyDescent="0.2">
      <c r="B785" s="20"/>
      <c r="D785" s="18"/>
      <c r="E785" s="259"/>
      <c r="F785" s="304"/>
    </row>
    <row r="786" spans="1:6" x14ac:dyDescent="0.2">
      <c r="B786" s="20"/>
      <c r="D786" s="18"/>
      <c r="E786" s="259"/>
      <c r="F786" s="304"/>
    </row>
    <row r="787" spans="1:6" x14ac:dyDescent="0.2">
      <c r="B787" s="22" t="s">
        <v>186</v>
      </c>
      <c r="D787" s="18"/>
      <c r="E787" s="259"/>
      <c r="F787" s="304"/>
    </row>
    <row r="788" spans="1:6" ht="76.5" x14ac:dyDescent="0.2">
      <c r="A788" s="1" t="s">
        <v>117</v>
      </c>
      <c r="B788" s="20" t="s">
        <v>188</v>
      </c>
      <c r="C788" s="3" t="s">
        <v>48</v>
      </c>
      <c r="D788" s="18">
        <f>0.1*380*0.1</f>
        <v>3.8000000000000003</v>
      </c>
      <c r="E788" s="259"/>
      <c r="F788" s="304">
        <f t="shared" si="39"/>
        <v>0</v>
      </c>
    </row>
    <row r="789" spans="1:6" ht="76.5" x14ac:dyDescent="0.2">
      <c r="A789" s="1" t="s">
        <v>118</v>
      </c>
      <c r="B789" s="20" t="s">
        <v>190</v>
      </c>
      <c r="C789" s="3" t="s">
        <v>48</v>
      </c>
      <c r="D789" s="18">
        <f>0.1*380*0.1</f>
        <v>3.8000000000000003</v>
      </c>
      <c r="E789" s="259"/>
      <c r="F789" s="304">
        <f t="shared" si="39"/>
        <v>0</v>
      </c>
    </row>
    <row r="790" spans="1:6" ht="76.5" x14ac:dyDescent="0.2">
      <c r="A790" s="1" t="s">
        <v>119</v>
      </c>
      <c r="B790" s="20" t="s">
        <v>192</v>
      </c>
      <c r="C790" s="3" t="s">
        <v>48</v>
      </c>
      <c r="D790" s="18">
        <f>0.1*380*0.1</f>
        <v>3.8000000000000003</v>
      </c>
      <c r="E790" s="259"/>
      <c r="F790" s="304">
        <f t="shared" si="39"/>
        <v>0</v>
      </c>
    </row>
    <row r="791" spans="1:6" ht="76.5" x14ac:dyDescent="0.2">
      <c r="A791" s="1" t="s">
        <v>120</v>
      </c>
      <c r="B791" s="20" t="s">
        <v>194</v>
      </c>
      <c r="C791" s="3" t="s">
        <v>48</v>
      </c>
      <c r="D791" s="18">
        <f>0.1*380*0.1</f>
        <v>3.8000000000000003</v>
      </c>
      <c r="E791" s="259"/>
      <c r="F791" s="304">
        <f t="shared" si="39"/>
        <v>0</v>
      </c>
    </row>
    <row r="792" spans="1:6" x14ac:dyDescent="0.2">
      <c r="B792" s="22"/>
      <c r="D792" s="18"/>
      <c r="E792" s="259"/>
      <c r="F792" s="304"/>
    </row>
    <row r="793" spans="1:6" ht="92.25" customHeight="1" x14ac:dyDescent="0.2">
      <c r="A793" s="1" t="s">
        <v>125</v>
      </c>
      <c r="B793" s="20" t="s">
        <v>291</v>
      </c>
      <c r="D793" s="18"/>
      <c r="E793" s="261"/>
      <c r="F793" s="304"/>
    </row>
    <row r="794" spans="1:6" ht="14.25" x14ac:dyDescent="0.2">
      <c r="A794" s="1" t="s">
        <v>127</v>
      </c>
      <c r="B794" s="20" t="s">
        <v>185</v>
      </c>
      <c r="C794" s="3" t="s">
        <v>48</v>
      </c>
      <c r="D794" s="54">
        <f>17*17.35</f>
        <v>294.95000000000005</v>
      </c>
      <c r="E794" s="261"/>
      <c r="F794" s="304">
        <f t="shared" si="39"/>
        <v>0</v>
      </c>
    </row>
    <row r="795" spans="1:6" x14ac:dyDescent="0.2">
      <c r="B795" s="20"/>
      <c r="D795" s="18"/>
      <c r="E795" s="261"/>
      <c r="F795" s="304"/>
    </row>
    <row r="796" spans="1:6" x14ac:dyDescent="0.2">
      <c r="B796" s="22" t="s">
        <v>186</v>
      </c>
      <c r="D796" s="18"/>
      <c r="E796" s="261"/>
      <c r="F796" s="304"/>
    </row>
    <row r="797" spans="1:6" ht="76.5" x14ac:dyDescent="0.2">
      <c r="A797" s="1" t="s">
        <v>128</v>
      </c>
      <c r="B797" s="20" t="s">
        <v>188</v>
      </c>
      <c r="C797" s="3" t="s">
        <v>48</v>
      </c>
      <c r="D797" s="18">
        <f>0.1*380</f>
        <v>38</v>
      </c>
      <c r="E797" s="261"/>
      <c r="F797" s="304">
        <f t="shared" si="39"/>
        <v>0</v>
      </c>
    </row>
    <row r="798" spans="1:6" ht="76.5" x14ac:dyDescent="0.2">
      <c r="A798" s="1" t="s">
        <v>129</v>
      </c>
      <c r="B798" s="20" t="s">
        <v>190</v>
      </c>
      <c r="C798" s="3" t="s">
        <v>48</v>
      </c>
      <c r="D798" s="18">
        <f>0.1*380</f>
        <v>38</v>
      </c>
      <c r="E798" s="261"/>
      <c r="F798" s="304">
        <f t="shared" si="39"/>
        <v>0</v>
      </c>
    </row>
    <row r="799" spans="1:6" ht="76.5" x14ac:dyDescent="0.2">
      <c r="A799" s="1" t="s">
        <v>130</v>
      </c>
      <c r="B799" s="20" t="s">
        <v>192</v>
      </c>
      <c r="C799" s="3" t="s">
        <v>48</v>
      </c>
      <c r="D799" s="18">
        <f>0.1*380</f>
        <v>38</v>
      </c>
      <c r="E799" s="261"/>
      <c r="F799" s="304">
        <f t="shared" si="39"/>
        <v>0</v>
      </c>
    </row>
    <row r="800" spans="1:6" ht="76.5" x14ac:dyDescent="0.2">
      <c r="A800" s="1" t="s">
        <v>131</v>
      </c>
      <c r="B800" s="20" t="s">
        <v>194</v>
      </c>
      <c r="C800" s="3" t="s">
        <v>48</v>
      </c>
      <c r="D800" s="18">
        <f>0.1*380</f>
        <v>38</v>
      </c>
      <c r="E800" s="261"/>
      <c r="F800" s="304">
        <f t="shared" si="39"/>
        <v>0</v>
      </c>
    </row>
    <row r="801" spans="1:6" x14ac:dyDescent="0.2">
      <c r="B801" s="20"/>
      <c r="D801" s="18"/>
      <c r="E801" s="261"/>
      <c r="F801" s="304"/>
    </row>
    <row r="802" spans="1:6" ht="344.25" x14ac:dyDescent="0.2">
      <c r="A802" s="1" t="s">
        <v>136</v>
      </c>
      <c r="B802" s="20" t="s">
        <v>292</v>
      </c>
      <c r="E802" s="259"/>
      <c r="F802" s="304"/>
    </row>
    <row r="803" spans="1:6" x14ac:dyDescent="0.2">
      <c r="B803" s="27" t="s">
        <v>293</v>
      </c>
      <c r="E803" s="259"/>
      <c r="F803" s="304"/>
    </row>
    <row r="804" spans="1:6" ht="14.25" x14ac:dyDescent="0.2">
      <c r="A804" s="1" t="s">
        <v>294</v>
      </c>
      <c r="B804" s="20" t="s">
        <v>185</v>
      </c>
      <c r="C804" s="3" t="s">
        <v>48</v>
      </c>
      <c r="D804" s="54">
        <f>17*17.35</f>
        <v>294.95000000000005</v>
      </c>
      <c r="E804" s="261"/>
      <c r="F804" s="304">
        <f t="shared" si="39"/>
        <v>0</v>
      </c>
    </row>
    <row r="805" spans="1:6" x14ac:dyDescent="0.2">
      <c r="B805" s="20"/>
      <c r="D805" s="18"/>
      <c r="E805" s="261"/>
      <c r="F805" s="304"/>
    </row>
    <row r="806" spans="1:6" x14ac:dyDescent="0.2">
      <c r="B806" s="22" t="s">
        <v>186</v>
      </c>
      <c r="D806" s="18"/>
      <c r="E806" s="261"/>
      <c r="F806" s="304"/>
    </row>
    <row r="807" spans="1:6" ht="76.5" x14ac:dyDescent="0.2">
      <c r="A807" s="1" t="s">
        <v>295</v>
      </c>
      <c r="B807" s="20" t="s">
        <v>188</v>
      </c>
      <c r="C807" s="3" t="s">
        <v>48</v>
      </c>
      <c r="D807" s="18">
        <f>0.1*380</f>
        <v>38</v>
      </c>
      <c r="E807" s="261"/>
      <c r="F807" s="304">
        <f t="shared" si="39"/>
        <v>0</v>
      </c>
    </row>
    <row r="808" spans="1:6" ht="76.5" x14ac:dyDescent="0.2">
      <c r="A808" s="1" t="s">
        <v>296</v>
      </c>
      <c r="B808" s="20" t="s">
        <v>190</v>
      </c>
      <c r="C808" s="3" t="s">
        <v>48</v>
      </c>
      <c r="D808" s="18">
        <f>0.1*380</f>
        <v>38</v>
      </c>
      <c r="E808" s="261"/>
      <c r="F808" s="304">
        <f t="shared" si="39"/>
        <v>0</v>
      </c>
    </row>
    <row r="809" spans="1:6" ht="76.5" x14ac:dyDescent="0.2">
      <c r="A809" s="1" t="s">
        <v>297</v>
      </c>
      <c r="B809" s="20" t="s">
        <v>192</v>
      </c>
      <c r="C809" s="3" t="s">
        <v>48</v>
      </c>
      <c r="D809" s="18">
        <f>0.1*380</f>
        <v>38</v>
      </c>
      <c r="E809" s="261"/>
      <c r="F809" s="304">
        <f t="shared" si="39"/>
        <v>0</v>
      </c>
    </row>
    <row r="810" spans="1:6" ht="76.5" x14ac:dyDescent="0.2">
      <c r="A810" s="1" t="s">
        <v>298</v>
      </c>
      <c r="B810" s="20" t="s">
        <v>194</v>
      </c>
      <c r="C810" s="3" t="s">
        <v>48</v>
      </c>
      <c r="D810" s="18">
        <f>0.1*380</f>
        <v>38</v>
      </c>
      <c r="E810" s="261"/>
      <c r="F810" s="304">
        <f t="shared" si="39"/>
        <v>0</v>
      </c>
    </row>
    <row r="811" spans="1:6" x14ac:dyDescent="0.2">
      <c r="B811" s="20"/>
      <c r="D811" s="18"/>
      <c r="E811" s="261"/>
      <c r="F811" s="304"/>
    </row>
    <row r="812" spans="1:6" ht="173.25" customHeight="1" x14ac:dyDescent="0.2">
      <c r="A812" s="1" t="s">
        <v>141</v>
      </c>
      <c r="B812" s="20" t="s">
        <v>299</v>
      </c>
      <c r="E812" s="259"/>
      <c r="F812" s="304"/>
    </row>
    <row r="813" spans="1:6" x14ac:dyDescent="0.2">
      <c r="B813" s="27" t="s">
        <v>293</v>
      </c>
      <c r="E813" s="259"/>
      <c r="F813" s="304"/>
    </row>
    <row r="814" spans="1:6" x14ac:dyDescent="0.2">
      <c r="A814" s="1" t="s">
        <v>300</v>
      </c>
      <c r="B814" s="20" t="s">
        <v>185</v>
      </c>
      <c r="C814" s="3" t="s">
        <v>90</v>
      </c>
      <c r="D814" s="54">
        <f>17*17.35*5</f>
        <v>1474.7500000000002</v>
      </c>
      <c r="E814" s="261"/>
      <c r="F814" s="304">
        <f t="shared" si="39"/>
        <v>0</v>
      </c>
    </row>
    <row r="815" spans="1:6" x14ac:dyDescent="0.2">
      <c r="B815" s="20"/>
      <c r="D815" s="18"/>
      <c r="E815" s="261"/>
      <c r="F815" s="304"/>
    </row>
    <row r="816" spans="1:6" x14ac:dyDescent="0.2">
      <c r="B816" s="22" t="s">
        <v>186</v>
      </c>
      <c r="D816" s="18"/>
      <c r="E816" s="261"/>
      <c r="F816" s="304"/>
    </row>
    <row r="817" spans="1:6" ht="76.5" x14ac:dyDescent="0.2">
      <c r="A817" s="1" t="s">
        <v>301</v>
      </c>
      <c r="B817" s="20" t="s">
        <v>188</v>
      </c>
      <c r="C817" s="3" t="s">
        <v>90</v>
      </c>
      <c r="D817" s="18">
        <f>0.1*380*5</f>
        <v>190</v>
      </c>
      <c r="E817" s="261"/>
      <c r="F817" s="304">
        <f t="shared" si="39"/>
        <v>0</v>
      </c>
    </row>
    <row r="818" spans="1:6" ht="76.5" x14ac:dyDescent="0.2">
      <c r="A818" s="1" t="s">
        <v>302</v>
      </c>
      <c r="B818" s="20" t="s">
        <v>190</v>
      </c>
      <c r="C818" s="3" t="s">
        <v>90</v>
      </c>
      <c r="D818" s="18">
        <f>0.1*380*5</f>
        <v>190</v>
      </c>
      <c r="E818" s="261"/>
      <c r="F818" s="304">
        <f t="shared" si="39"/>
        <v>0</v>
      </c>
    </row>
    <row r="819" spans="1:6" ht="76.5" x14ac:dyDescent="0.2">
      <c r="A819" s="1" t="s">
        <v>303</v>
      </c>
      <c r="B819" s="20" t="s">
        <v>192</v>
      </c>
      <c r="C819" s="3" t="s">
        <v>90</v>
      </c>
      <c r="D819" s="18">
        <f>0.1*380*5</f>
        <v>190</v>
      </c>
      <c r="E819" s="261"/>
      <c r="F819" s="304">
        <f t="shared" si="39"/>
        <v>0</v>
      </c>
    </row>
    <row r="820" spans="1:6" ht="76.5" x14ac:dyDescent="0.2">
      <c r="A820" s="1" t="s">
        <v>304</v>
      </c>
      <c r="B820" s="20" t="s">
        <v>194</v>
      </c>
      <c r="C820" s="3" t="s">
        <v>90</v>
      </c>
      <c r="D820" s="18">
        <f>0.1*380*5</f>
        <v>190</v>
      </c>
      <c r="E820" s="261"/>
      <c r="F820" s="304">
        <f t="shared" si="39"/>
        <v>0</v>
      </c>
    </row>
    <row r="821" spans="1:6" x14ac:dyDescent="0.2">
      <c r="B821" s="20"/>
      <c r="E821" s="261"/>
      <c r="F821" s="304"/>
    </row>
    <row r="822" spans="1:6" ht="131.25" customHeight="1" x14ac:dyDescent="0.2">
      <c r="A822" s="1" t="s">
        <v>145</v>
      </c>
      <c r="B822" s="27" t="s">
        <v>305</v>
      </c>
      <c r="E822" s="259"/>
      <c r="F822" s="304"/>
    </row>
    <row r="823" spans="1:6" ht="14.25" x14ac:dyDescent="0.2">
      <c r="A823" s="1" t="s">
        <v>147</v>
      </c>
      <c r="B823" s="20" t="s">
        <v>185</v>
      </c>
      <c r="C823" s="3" t="s">
        <v>48</v>
      </c>
      <c r="D823" s="54">
        <f>17*17.35</f>
        <v>294.95000000000005</v>
      </c>
      <c r="E823" s="261"/>
      <c r="F823" s="304">
        <f t="shared" ref="F823:F852" si="40">ROUND(D823*E823,2)</f>
        <v>0</v>
      </c>
    </row>
    <row r="824" spans="1:6" x14ac:dyDescent="0.2">
      <c r="B824" s="20"/>
      <c r="D824" s="18"/>
      <c r="E824" s="261"/>
      <c r="F824" s="304"/>
    </row>
    <row r="825" spans="1:6" x14ac:dyDescent="0.2">
      <c r="B825" s="22" t="s">
        <v>186</v>
      </c>
      <c r="D825" s="18"/>
      <c r="E825" s="261"/>
      <c r="F825" s="304"/>
    </row>
    <row r="826" spans="1:6" ht="76.5" x14ac:dyDescent="0.2">
      <c r="A826" s="1" t="s">
        <v>149</v>
      </c>
      <c r="B826" s="20" t="s">
        <v>188</v>
      </c>
      <c r="C826" s="3" t="s">
        <v>48</v>
      </c>
      <c r="D826" s="18">
        <f>0.1*380</f>
        <v>38</v>
      </c>
      <c r="E826" s="261"/>
      <c r="F826" s="304">
        <f t="shared" si="40"/>
        <v>0</v>
      </c>
    </row>
    <row r="827" spans="1:6" ht="76.5" x14ac:dyDescent="0.2">
      <c r="A827" s="1" t="s">
        <v>151</v>
      </c>
      <c r="B827" s="20" t="s">
        <v>190</v>
      </c>
      <c r="C827" s="3" t="s">
        <v>48</v>
      </c>
      <c r="D827" s="18">
        <f>0.1*380</f>
        <v>38</v>
      </c>
      <c r="E827" s="261"/>
      <c r="F827" s="304">
        <f t="shared" si="40"/>
        <v>0</v>
      </c>
    </row>
    <row r="828" spans="1:6" ht="76.5" x14ac:dyDescent="0.2">
      <c r="A828" s="1" t="s">
        <v>306</v>
      </c>
      <c r="B828" s="20" t="s">
        <v>192</v>
      </c>
      <c r="C828" s="3" t="s">
        <v>48</v>
      </c>
      <c r="D828" s="18">
        <f>0.1*380</f>
        <v>38</v>
      </c>
      <c r="E828" s="261"/>
      <c r="F828" s="304">
        <f t="shared" si="40"/>
        <v>0</v>
      </c>
    </row>
    <row r="829" spans="1:6" ht="76.5" x14ac:dyDescent="0.2">
      <c r="A829" s="1" t="s">
        <v>307</v>
      </c>
      <c r="B829" s="20" t="s">
        <v>194</v>
      </c>
      <c r="C829" s="3" t="s">
        <v>48</v>
      </c>
      <c r="D829" s="18">
        <f>0.1*380</f>
        <v>38</v>
      </c>
      <c r="E829" s="261"/>
      <c r="F829" s="304">
        <f t="shared" si="40"/>
        <v>0</v>
      </c>
    </row>
    <row r="830" spans="1:6" x14ac:dyDescent="0.2">
      <c r="B830" s="20"/>
      <c r="D830" s="18"/>
      <c r="E830" s="261"/>
      <c r="F830" s="304"/>
    </row>
    <row r="831" spans="1:6" ht="157.5" customHeight="1" x14ac:dyDescent="0.2">
      <c r="A831" s="1" t="s">
        <v>153</v>
      </c>
      <c r="B831" s="46" t="s">
        <v>285</v>
      </c>
      <c r="D831" s="18"/>
      <c r="E831" s="268"/>
      <c r="F831" s="304">
        <f t="shared" si="40"/>
        <v>0</v>
      </c>
    </row>
    <row r="832" spans="1:6" x14ac:dyDescent="0.2">
      <c r="B832" s="22" t="s">
        <v>186</v>
      </c>
      <c r="D832" s="18"/>
      <c r="E832" s="261"/>
      <c r="F832" s="304">
        <f t="shared" si="40"/>
        <v>0</v>
      </c>
    </row>
    <row r="833" spans="1:6" ht="76.5" x14ac:dyDescent="0.2">
      <c r="A833" s="1" t="s">
        <v>155</v>
      </c>
      <c r="B833" s="20" t="s">
        <v>188</v>
      </c>
      <c r="C833" s="3" t="s">
        <v>48</v>
      </c>
      <c r="D833" s="18">
        <f>0.1*380</f>
        <v>38</v>
      </c>
      <c r="E833" s="261"/>
      <c r="F833" s="304">
        <f t="shared" si="40"/>
        <v>0</v>
      </c>
    </row>
    <row r="834" spans="1:6" ht="76.5" x14ac:dyDescent="0.2">
      <c r="A834" s="1" t="s">
        <v>157</v>
      </c>
      <c r="B834" s="20" t="s">
        <v>190</v>
      </c>
      <c r="C834" s="3" t="s">
        <v>48</v>
      </c>
      <c r="D834" s="18">
        <f>0.1*380</f>
        <v>38</v>
      </c>
      <c r="E834" s="261"/>
      <c r="F834" s="304">
        <f t="shared" si="40"/>
        <v>0</v>
      </c>
    </row>
    <row r="835" spans="1:6" ht="76.5" x14ac:dyDescent="0.2">
      <c r="A835" s="1" t="s">
        <v>158</v>
      </c>
      <c r="B835" s="20" t="s">
        <v>192</v>
      </c>
      <c r="C835" s="3" t="s">
        <v>48</v>
      </c>
      <c r="D835" s="18">
        <f>0.1*380</f>
        <v>38</v>
      </c>
      <c r="E835" s="261"/>
      <c r="F835" s="304">
        <f t="shared" si="40"/>
        <v>0</v>
      </c>
    </row>
    <row r="836" spans="1:6" ht="76.5" x14ac:dyDescent="0.2">
      <c r="A836" s="1" t="s">
        <v>308</v>
      </c>
      <c r="B836" s="20" t="s">
        <v>194</v>
      </c>
      <c r="C836" s="3" t="s">
        <v>48</v>
      </c>
      <c r="D836" s="18">
        <f>0.1*380</f>
        <v>38</v>
      </c>
      <c r="E836" s="261"/>
      <c r="F836" s="304">
        <f t="shared" si="40"/>
        <v>0</v>
      </c>
    </row>
    <row r="837" spans="1:6" x14ac:dyDescent="0.2">
      <c r="B837" s="80"/>
      <c r="E837" s="259"/>
      <c r="F837" s="304"/>
    </row>
    <row r="838" spans="1:6" ht="76.5" x14ac:dyDescent="0.2">
      <c r="A838" s="1" t="s">
        <v>159</v>
      </c>
      <c r="B838" s="27" t="s">
        <v>264</v>
      </c>
      <c r="E838" s="259"/>
      <c r="F838" s="304"/>
    </row>
    <row r="839" spans="1:6" ht="14.25" x14ac:dyDescent="0.2">
      <c r="B839" s="20" t="s">
        <v>185</v>
      </c>
      <c r="C839" s="3" t="s">
        <v>48</v>
      </c>
      <c r="D839" s="54">
        <f>17*17.35</f>
        <v>294.95000000000005</v>
      </c>
      <c r="E839" s="261"/>
      <c r="F839" s="304">
        <f t="shared" si="40"/>
        <v>0</v>
      </c>
    </row>
    <row r="840" spans="1:6" x14ac:dyDescent="0.2">
      <c r="B840" s="20"/>
      <c r="D840" s="54"/>
      <c r="E840" s="261"/>
      <c r="F840" s="304"/>
    </row>
    <row r="841" spans="1:6" ht="38.25" x14ac:dyDescent="0.2">
      <c r="B841" s="55" t="s">
        <v>207</v>
      </c>
      <c r="E841" s="259"/>
      <c r="F841" s="304"/>
    </row>
    <row r="842" spans="1:6" ht="140.25" x14ac:dyDescent="0.2">
      <c r="A842" s="1" t="s">
        <v>164</v>
      </c>
      <c r="B842" s="27" t="s">
        <v>309</v>
      </c>
      <c r="E842" s="259"/>
      <c r="F842" s="304">
        <f t="shared" si="40"/>
        <v>0</v>
      </c>
    </row>
    <row r="843" spans="1:6" ht="14.25" x14ac:dyDescent="0.2">
      <c r="A843" s="1" t="s">
        <v>310</v>
      </c>
      <c r="B843" s="56" t="s">
        <v>311</v>
      </c>
      <c r="C843" s="3" t="s">
        <v>48</v>
      </c>
      <c r="D843" s="54">
        <v>30</v>
      </c>
      <c r="E843" s="261"/>
      <c r="F843" s="304">
        <f t="shared" si="40"/>
        <v>0</v>
      </c>
    </row>
    <row r="844" spans="1:6" ht="14.25" x14ac:dyDescent="0.2">
      <c r="A844" s="1" t="s">
        <v>312</v>
      </c>
      <c r="B844" s="56" t="s">
        <v>313</v>
      </c>
      <c r="C844" s="3" t="s">
        <v>48</v>
      </c>
      <c r="D844" s="54">
        <v>30</v>
      </c>
      <c r="E844" s="261"/>
      <c r="F844" s="304">
        <f t="shared" si="40"/>
        <v>0</v>
      </c>
    </row>
    <row r="845" spans="1:6" ht="14.25" x14ac:dyDescent="0.2">
      <c r="A845" s="1" t="s">
        <v>314</v>
      </c>
      <c r="B845" s="56" t="s">
        <v>315</v>
      </c>
      <c r="C845" s="3" t="s">
        <v>48</v>
      </c>
      <c r="D845" s="54">
        <f>3.4*10.2</f>
        <v>34.68</v>
      </c>
      <c r="E845" s="261"/>
      <c r="F845" s="304">
        <f t="shared" si="40"/>
        <v>0</v>
      </c>
    </row>
    <row r="846" spans="1:6" ht="14.25" x14ac:dyDescent="0.2">
      <c r="A846" s="1" t="s">
        <v>316</v>
      </c>
      <c r="B846" s="56" t="s">
        <v>317</v>
      </c>
      <c r="C846" s="3" t="s">
        <v>48</v>
      </c>
      <c r="D846" s="54">
        <f>3.4*10.2</f>
        <v>34.68</v>
      </c>
      <c r="E846" s="261"/>
      <c r="F846" s="304">
        <f t="shared" si="40"/>
        <v>0</v>
      </c>
    </row>
    <row r="847" spans="1:6" x14ac:dyDescent="0.2">
      <c r="B847" s="80"/>
      <c r="E847" s="259"/>
      <c r="F847" s="304"/>
    </row>
    <row r="848" spans="1:6" x14ac:dyDescent="0.2">
      <c r="B848" s="80"/>
      <c r="E848" s="259"/>
      <c r="F848" s="304"/>
    </row>
    <row r="849" spans="1:6" ht="156.75" customHeight="1" x14ac:dyDescent="0.2">
      <c r="A849" s="1" t="s">
        <v>167</v>
      </c>
      <c r="B849" s="46" t="s">
        <v>285</v>
      </c>
      <c r="D849" s="18"/>
      <c r="E849" s="268"/>
      <c r="F849" s="304"/>
    </row>
    <row r="850" spans="1:6" ht="14.25" x14ac:dyDescent="0.2">
      <c r="A850" s="1" t="s">
        <v>169</v>
      </c>
      <c r="B850" s="56" t="s">
        <v>311</v>
      </c>
      <c r="C850" s="3" t="s">
        <v>48</v>
      </c>
      <c r="D850" s="54">
        <v>30</v>
      </c>
      <c r="E850" s="261"/>
      <c r="F850" s="304">
        <f t="shared" si="40"/>
        <v>0</v>
      </c>
    </row>
    <row r="851" spans="1:6" ht="14.25" x14ac:dyDescent="0.2">
      <c r="A851" s="1" t="s">
        <v>171</v>
      </c>
      <c r="B851" s="56" t="s">
        <v>313</v>
      </c>
      <c r="C851" s="3" t="s">
        <v>48</v>
      </c>
      <c r="D851" s="54">
        <v>30</v>
      </c>
      <c r="E851" s="261"/>
      <c r="F851" s="304">
        <f t="shared" si="40"/>
        <v>0</v>
      </c>
    </row>
    <row r="852" spans="1:6" ht="14.25" x14ac:dyDescent="0.2">
      <c r="A852" s="1" t="s">
        <v>318</v>
      </c>
      <c r="B852" s="56" t="s">
        <v>315</v>
      </c>
      <c r="C852" s="3" t="s">
        <v>48</v>
      </c>
      <c r="D852" s="54">
        <f>3.4*10.2</f>
        <v>34.68</v>
      </c>
      <c r="E852" s="261"/>
      <c r="F852" s="304">
        <f t="shared" si="40"/>
        <v>0</v>
      </c>
    </row>
    <row r="853" spans="1:6" ht="14.25" x14ac:dyDescent="0.2">
      <c r="A853" s="1" t="s">
        <v>319</v>
      </c>
      <c r="B853" s="56" t="s">
        <v>317</v>
      </c>
      <c r="C853" s="3" t="s">
        <v>48</v>
      </c>
      <c r="D853" s="54">
        <f>3.4*10.2</f>
        <v>34.68</v>
      </c>
      <c r="E853" s="261"/>
      <c r="F853" s="304">
        <f>ROUND(D853*E853,2)</f>
        <v>0</v>
      </c>
    </row>
    <row r="854" spans="1:6" x14ac:dyDescent="0.2">
      <c r="B854" s="80"/>
      <c r="E854" s="259"/>
    </row>
    <row r="855" spans="1:6" x14ac:dyDescent="0.2">
      <c r="B855" s="53"/>
      <c r="E855" s="259"/>
    </row>
    <row r="856" spans="1:6" x14ac:dyDescent="0.2">
      <c r="A856" s="63"/>
      <c r="B856" s="64" t="s">
        <v>320</v>
      </c>
      <c r="C856" s="73"/>
      <c r="D856" s="65"/>
      <c r="E856" s="266"/>
      <c r="F856" s="306">
        <f>ROUND(SUM(F564:F853),2)</f>
        <v>0</v>
      </c>
    </row>
    <row r="857" spans="1:6" x14ac:dyDescent="0.2">
      <c r="B857" s="67"/>
      <c r="E857" s="259"/>
      <c r="F857" s="305"/>
    </row>
    <row r="858" spans="1:6" x14ac:dyDescent="0.2">
      <c r="B858" s="67"/>
      <c r="E858" s="259"/>
      <c r="F858" s="305"/>
    </row>
    <row r="859" spans="1:6" x14ac:dyDescent="0.2">
      <c r="B859" s="67"/>
      <c r="E859" s="259"/>
      <c r="F859" s="305"/>
    </row>
    <row r="860" spans="1:6" x14ac:dyDescent="0.2">
      <c r="B860" s="67"/>
      <c r="E860" s="259"/>
      <c r="F860" s="305"/>
    </row>
    <row r="861" spans="1:6" x14ac:dyDescent="0.2">
      <c r="B861" s="67"/>
      <c r="E861" s="259"/>
      <c r="F861" s="305"/>
    </row>
    <row r="862" spans="1:6" x14ac:dyDescent="0.2">
      <c r="B862" s="67"/>
      <c r="E862" s="259"/>
      <c r="F862" s="305"/>
    </row>
    <row r="863" spans="1:6" x14ac:dyDescent="0.2">
      <c r="B863" s="67"/>
      <c r="E863" s="259"/>
      <c r="F863" s="305"/>
    </row>
    <row r="864" spans="1:6" x14ac:dyDescent="0.2">
      <c r="B864" s="67"/>
      <c r="E864" s="259"/>
      <c r="F864" s="305"/>
    </row>
    <row r="865" spans="2:6" x14ac:dyDescent="0.2">
      <c r="B865" s="67"/>
      <c r="E865" s="259"/>
      <c r="F865" s="305"/>
    </row>
    <row r="866" spans="2:6" x14ac:dyDescent="0.2">
      <c r="B866" s="67"/>
      <c r="E866" s="259"/>
      <c r="F866" s="305"/>
    </row>
    <row r="867" spans="2:6" x14ac:dyDescent="0.2">
      <c r="B867" s="67"/>
      <c r="E867" s="259"/>
      <c r="F867" s="305"/>
    </row>
    <row r="868" spans="2:6" x14ac:dyDescent="0.2">
      <c r="B868" s="67"/>
      <c r="E868" s="259"/>
      <c r="F868" s="305"/>
    </row>
    <row r="869" spans="2:6" x14ac:dyDescent="0.2">
      <c r="B869" s="67"/>
      <c r="E869" s="259"/>
      <c r="F869" s="305"/>
    </row>
    <row r="870" spans="2:6" x14ac:dyDescent="0.2">
      <c r="B870" s="67"/>
      <c r="E870" s="259"/>
      <c r="F870" s="305"/>
    </row>
    <row r="871" spans="2:6" x14ac:dyDescent="0.2">
      <c r="B871" s="67"/>
      <c r="E871" s="259"/>
      <c r="F871" s="305"/>
    </row>
    <row r="872" spans="2:6" x14ac:dyDescent="0.2">
      <c r="B872" s="67"/>
      <c r="E872" s="259"/>
      <c r="F872" s="305"/>
    </row>
    <row r="873" spans="2:6" x14ac:dyDescent="0.2">
      <c r="B873" s="67"/>
      <c r="E873" s="259"/>
      <c r="F873" s="305"/>
    </row>
    <row r="874" spans="2:6" x14ac:dyDescent="0.2">
      <c r="B874" s="67"/>
      <c r="E874" s="259"/>
      <c r="F874" s="305"/>
    </row>
    <row r="875" spans="2:6" x14ac:dyDescent="0.2">
      <c r="B875" s="67"/>
      <c r="E875" s="259"/>
      <c r="F875" s="305"/>
    </row>
    <row r="876" spans="2:6" x14ac:dyDescent="0.2">
      <c r="B876" s="67"/>
      <c r="E876" s="259"/>
      <c r="F876" s="305"/>
    </row>
    <row r="877" spans="2:6" x14ac:dyDescent="0.2">
      <c r="B877" s="67"/>
      <c r="E877" s="259"/>
      <c r="F877" s="305"/>
    </row>
    <row r="878" spans="2:6" x14ac:dyDescent="0.2">
      <c r="B878" s="67"/>
      <c r="E878" s="259"/>
      <c r="F878" s="305"/>
    </row>
    <row r="879" spans="2:6" x14ac:dyDescent="0.2">
      <c r="B879" s="67"/>
      <c r="E879" s="259"/>
      <c r="F879" s="305"/>
    </row>
    <row r="880" spans="2:6" x14ac:dyDescent="0.2">
      <c r="B880" s="67"/>
      <c r="E880" s="259"/>
      <c r="F880" s="305"/>
    </row>
    <row r="881" spans="1:6" x14ac:dyDescent="0.2">
      <c r="B881" s="67"/>
      <c r="E881" s="259"/>
      <c r="F881" s="305"/>
    </row>
    <row r="882" spans="1:6" x14ac:dyDescent="0.2">
      <c r="B882" s="67"/>
      <c r="E882" s="259"/>
      <c r="F882" s="305"/>
    </row>
    <row r="883" spans="1:6" x14ac:dyDescent="0.2">
      <c r="B883" s="67"/>
      <c r="E883" s="259"/>
      <c r="F883" s="305"/>
    </row>
    <row r="884" spans="1:6" x14ac:dyDescent="0.2">
      <c r="B884" s="67"/>
      <c r="E884" s="259"/>
      <c r="F884" s="305"/>
    </row>
    <row r="885" spans="1:6" x14ac:dyDescent="0.2">
      <c r="B885" s="67"/>
      <c r="E885" s="259"/>
      <c r="F885" s="305"/>
    </row>
    <row r="886" spans="1:6" x14ac:dyDescent="0.2">
      <c r="B886" s="67"/>
      <c r="E886" s="259"/>
      <c r="F886" s="305"/>
    </row>
    <row r="887" spans="1:6" x14ac:dyDescent="0.2">
      <c r="B887" s="67"/>
      <c r="E887" s="259"/>
      <c r="F887" s="305"/>
    </row>
    <row r="888" spans="1:6" x14ac:dyDescent="0.2">
      <c r="B888" s="67"/>
      <c r="E888" s="259"/>
      <c r="F888" s="305"/>
    </row>
    <row r="889" spans="1:6" x14ac:dyDescent="0.2">
      <c r="B889" s="67"/>
      <c r="E889" s="259"/>
      <c r="F889" s="305"/>
    </row>
    <row r="890" spans="1:6" x14ac:dyDescent="0.2">
      <c r="B890" s="67"/>
      <c r="E890" s="259"/>
      <c r="F890" s="305"/>
    </row>
    <row r="891" spans="1:6" x14ac:dyDescent="0.2">
      <c r="B891" s="67"/>
      <c r="E891" s="259"/>
      <c r="F891" s="305"/>
    </row>
    <row r="892" spans="1:6" x14ac:dyDescent="0.2">
      <c r="B892" s="67"/>
      <c r="E892" s="259"/>
      <c r="F892" s="305"/>
    </row>
    <row r="893" spans="1:6" x14ac:dyDescent="0.2">
      <c r="B893" s="67"/>
      <c r="E893" s="259"/>
      <c r="F893" s="305"/>
    </row>
    <row r="894" spans="1:6" x14ac:dyDescent="0.2">
      <c r="B894" s="67"/>
      <c r="E894" s="259"/>
      <c r="F894" s="305"/>
    </row>
    <row r="895" spans="1:6" x14ac:dyDescent="0.2">
      <c r="B895" s="67"/>
      <c r="E895" s="259"/>
      <c r="F895" s="305"/>
    </row>
    <row r="896" spans="1:6" x14ac:dyDescent="0.2">
      <c r="A896" s="9" t="s">
        <v>321</v>
      </c>
      <c r="B896" s="10" t="s">
        <v>322</v>
      </c>
      <c r="C896" s="11" t="s">
        <v>6</v>
      </c>
      <c r="D896" s="12" t="s">
        <v>7</v>
      </c>
      <c r="E896" s="267" t="s">
        <v>8</v>
      </c>
      <c r="F896" s="302" t="s">
        <v>9</v>
      </c>
    </row>
    <row r="897" spans="1:9" x14ac:dyDescent="0.2">
      <c r="B897" s="5"/>
      <c r="E897" s="259"/>
    </row>
    <row r="898" spans="1:9" x14ac:dyDescent="0.2">
      <c r="B898" s="26" t="s">
        <v>93</v>
      </c>
      <c r="C898" s="74"/>
      <c r="D898" s="75"/>
      <c r="E898" s="261"/>
      <c r="F898" s="305"/>
    </row>
    <row r="899" spans="1:9" ht="153" x14ac:dyDescent="0.2">
      <c r="A899" s="81" t="s">
        <v>11</v>
      </c>
      <c r="B899" s="82" t="s">
        <v>323</v>
      </c>
      <c r="C899" s="83"/>
      <c r="D899" s="84"/>
      <c r="E899" s="269"/>
      <c r="F899" s="308"/>
    </row>
    <row r="900" spans="1:9" ht="25.5" x14ac:dyDescent="0.2">
      <c r="A900" s="81"/>
      <c r="B900" s="82" t="s">
        <v>324</v>
      </c>
      <c r="C900" s="47" t="s">
        <v>255</v>
      </c>
      <c r="D900" s="86">
        <f>1.242*0.65*(45*2*2)</f>
        <v>145.31399999999999</v>
      </c>
      <c r="E900" s="265"/>
      <c r="F900" s="304">
        <f>ROUND(D900*E900,2)</f>
        <v>0</v>
      </c>
      <c r="G900">
        <f>17*2+11</f>
        <v>45</v>
      </c>
    </row>
    <row r="901" spans="1:9" x14ac:dyDescent="0.2">
      <c r="A901" s="81"/>
      <c r="B901" s="87"/>
      <c r="C901" s="88"/>
      <c r="D901" s="88"/>
      <c r="E901" s="270"/>
      <c r="F901" s="304"/>
    </row>
    <row r="902" spans="1:9" ht="38.25" x14ac:dyDescent="0.2">
      <c r="A902" s="81" t="s">
        <v>31</v>
      </c>
      <c r="B902" s="82" t="s">
        <v>325</v>
      </c>
      <c r="C902" s="83"/>
      <c r="D902" s="84"/>
      <c r="E902" s="269"/>
      <c r="F902" s="304"/>
    </row>
    <row r="903" spans="1:9" ht="14.25" x14ac:dyDescent="0.2">
      <c r="A903" s="89"/>
      <c r="B903" s="90" t="s">
        <v>326</v>
      </c>
      <c r="C903" s="91" t="s">
        <v>327</v>
      </c>
      <c r="D903" s="92">
        <f>45*0.3*0.3</f>
        <v>4.05</v>
      </c>
      <c r="E903" s="271"/>
      <c r="F903" s="304">
        <f t="shared" ref="F903:F963" si="41">ROUND(D903*E903,2)</f>
        <v>0</v>
      </c>
    </row>
    <row r="904" spans="1:9" ht="14.25" x14ac:dyDescent="0.2">
      <c r="A904" s="89"/>
      <c r="B904" s="93" t="s">
        <v>328</v>
      </c>
      <c r="C904" s="94" t="s">
        <v>255</v>
      </c>
      <c r="D904" s="92">
        <f>150*D903</f>
        <v>607.5</v>
      </c>
      <c r="E904" s="271"/>
      <c r="F904" s="304">
        <f t="shared" si="41"/>
        <v>0</v>
      </c>
    </row>
    <row r="905" spans="1:9" x14ac:dyDescent="0.2">
      <c r="A905" s="89"/>
      <c r="B905" s="93" t="s">
        <v>329</v>
      </c>
      <c r="C905" s="94" t="s">
        <v>255</v>
      </c>
      <c r="D905" s="92">
        <f>0.911*1.1*(45/0.15)</f>
        <v>300.63000000000005</v>
      </c>
      <c r="E905" s="271"/>
      <c r="F905" s="304">
        <f t="shared" si="41"/>
        <v>0</v>
      </c>
    </row>
    <row r="906" spans="1:9" x14ac:dyDescent="0.2">
      <c r="B906" s="5"/>
      <c r="E906" s="259"/>
      <c r="F906" s="304"/>
    </row>
    <row r="907" spans="1:9" ht="237" customHeight="1" x14ac:dyDescent="0.2">
      <c r="A907" s="1" t="s">
        <v>44</v>
      </c>
      <c r="B907" s="15" t="s">
        <v>330</v>
      </c>
      <c r="C907" s="74"/>
      <c r="D907" s="78"/>
      <c r="E907" s="259"/>
      <c r="F907" s="304"/>
    </row>
    <row r="908" spans="1:9" x14ac:dyDescent="0.2">
      <c r="B908" s="8" t="s">
        <v>96</v>
      </c>
      <c r="D908" s="18"/>
      <c r="E908" s="259"/>
      <c r="F908" s="304">
        <f t="shared" si="41"/>
        <v>0</v>
      </c>
      <c r="I908" s="95"/>
    </row>
    <row r="909" spans="1:9" ht="14.25" x14ac:dyDescent="0.2">
      <c r="A909" s="1" t="s">
        <v>46</v>
      </c>
      <c r="B909" s="28" t="s">
        <v>98</v>
      </c>
      <c r="C909" s="3" t="s">
        <v>48</v>
      </c>
      <c r="D909" s="18">
        <f>17.35*6.65</f>
        <v>115.37750000000001</v>
      </c>
      <c r="E909" s="259"/>
      <c r="F909" s="304">
        <f t="shared" si="41"/>
        <v>0</v>
      </c>
      <c r="I909" s="95"/>
    </row>
    <row r="910" spans="1:9" ht="14.25" x14ac:dyDescent="0.2">
      <c r="B910" s="96" t="s">
        <v>331</v>
      </c>
      <c r="C910" s="47" t="s">
        <v>332</v>
      </c>
      <c r="D910" s="97">
        <f>D909</f>
        <v>115.37750000000001</v>
      </c>
      <c r="E910" s="265"/>
      <c r="F910" s="304">
        <f t="shared" si="41"/>
        <v>0</v>
      </c>
      <c r="I910" s="95"/>
    </row>
    <row r="911" spans="1:9" ht="14.25" x14ac:dyDescent="0.2">
      <c r="B911" s="98" t="s">
        <v>333</v>
      </c>
      <c r="C911" s="47" t="s">
        <v>255</v>
      </c>
      <c r="D911" s="97">
        <f>D910*5.38</f>
        <v>620.73095000000001</v>
      </c>
      <c r="E911" s="265"/>
      <c r="F911" s="304">
        <f t="shared" si="41"/>
        <v>0</v>
      </c>
      <c r="I911" s="95"/>
    </row>
    <row r="912" spans="1:9" ht="27" x14ac:dyDescent="0.2">
      <c r="B912" s="99" t="s">
        <v>334</v>
      </c>
      <c r="C912" s="47" t="s">
        <v>255</v>
      </c>
      <c r="D912" s="97">
        <f>D910*9*0.35*0.911</f>
        <v>331.09304287499998</v>
      </c>
      <c r="E912" s="265"/>
      <c r="F912" s="304">
        <f t="shared" si="41"/>
        <v>0</v>
      </c>
      <c r="I912" s="95"/>
    </row>
    <row r="913" spans="1:9" ht="25.5" x14ac:dyDescent="0.2">
      <c r="B913" s="100" t="s">
        <v>335</v>
      </c>
      <c r="C913" s="47" t="s">
        <v>255</v>
      </c>
      <c r="D913" s="97">
        <f>0.25*D911</f>
        <v>155.1827375</v>
      </c>
      <c r="E913" s="265"/>
      <c r="F913" s="304">
        <f t="shared" si="41"/>
        <v>0</v>
      </c>
      <c r="I913" s="95"/>
    </row>
    <row r="914" spans="1:9" x14ac:dyDescent="0.2">
      <c r="B914" s="99"/>
      <c r="C914" s="47"/>
      <c r="D914" s="97"/>
      <c r="E914" s="265"/>
      <c r="F914" s="304">
        <f t="shared" si="41"/>
        <v>0</v>
      </c>
      <c r="I914" s="95"/>
    </row>
    <row r="915" spans="1:9" ht="14.25" x14ac:dyDescent="0.2">
      <c r="A915" s="1" t="s">
        <v>49</v>
      </c>
      <c r="B915" s="28" t="s">
        <v>100</v>
      </c>
      <c r="C915" s="3" t="s">
        <v>48</v>
      </c>
      <c r="D915" s="18">
        <f>17.35*4</f>
        <v>69.400000000000006</v>
      </c>
      <c r="E915" s="265"/>
      <c r="F915" s="304">
        <f t="shared" si="41"/>
        <v>0</v>
      </c>
      <c r="I915" s="95"/>
    </row>
    <row r="916" spans="1:9" ht="14.25" x14ac:dyDescent="0.2">
      <c r="B916" s="96" t="s">
        <v>331</v>
      </c>
      <c r="C916" s="47" t="s">
        <v>332</v>
      </c>
      <c r="D916" s="97">
        <f>D915</f>
        <v>69.400000000000006</v>
      </c>
      <c r="E916" s="265"/>
      <c r="F916" s="304">
        <f t="shared" si="41"/>
        <v>0</v>
      </c>
      <c r="I916" s="95"/>
    </row>
    <row r="917" spans="1:9" ht="14.25" x14ac:dyDescent="0.2">
      <c r="B917" s="98" t="s">
        <v>333</v>
      </c>
      <c r="C917" s="47" t="s">
        <v>255</v>
      </c>
      <c r="D917" s="97">
        <f>D916*5.38</f>
        <v>373.37200000000001</v>
      </c>
      <c r="E917" s="265"/>
      <c r="F917" s="304">
        <f t="shared" si="41"/>
        <v>0</v>
      </c>
      <c r="I917" s="95"/>
    </row>
    <row r="918" spans="1:9" ht="27" x14ac:dyDescent="0.2">
      <c r="B918" s="99" t="s">
        <v>334</v>
      </c>
      <c r="C918" s="47" t="s">
        <v>255</v>
      </c>
      <c r="D918" s="97">
        <f>D916*9*0.35*0.911</f>
        <v>199.15370999999999</v>
      </c>
      <c r="E918" s="265"/>
      <c r="F918" s="304">
        <f t="shared" si="41"/>
        <v>0</v>
      </c>
      <c r="I918" s="95"/>
    </row>
    <row r="919" spans="1:9" ht="25.5" x14ac:dyDescent="0.2">
      <c r="B919" s="100" t="s">
        <v>335</v>
      </c>
      <c r="C919" s="47" t="s">
        <v>255</v>
      </c>
      <c r="D919" s="97">
        <f>0.25*D917</f>
        <v>93.343000000000004</v>
      </c>
      <c r="E919" s="265"/>
      <c r="F919" s="304">
        <f t="shared" si="41"/>
        <v>0</v>
      </c>
      <c r="I919" s="95"/>
    </row>
    <row r="920" spans="1:9" x14ac:dyDescent="0.2">
      <c r="D920" s="18"/>
      <c r="E920" s="265"/>
      <c r="F920" s="304">
        <f t="shared" si="41"/>
        <v>0</v>
      </c>
      <c r="I920" s="95"/>
    </row>
    <row r="921" spans="1:9" ht="14.25" x14ac:dyDescent="0.2">
      <c r="A921" s="1" t="s">
        <v>238</v>
      </c>
      <c r="B921" s="28" t="s">
        <v>102</v>
      </c>
      <c r="C921" s="3" t="s">
        <v>48</v>
      </c>
      <c r="D921" s="18">
        <f>14.15*6.65</f>
        <v>94.097500000000011</v>
      </c>
      <c r="E921" s="265"/>
      <c r="F921" s="304">
        <f t="shared" si="41"/>
        <v>0</v>
      </c>
      <c r="I921" s="95"/>
    </row>
    <row r="922" spans="1:9" ht="14.25" x14ac:dyDescent="0.2">
      <c r="B922" s="96" t="s">
        <v>331</v>
      </c>
      <c r="C922" s="47" t="s">
        <v>332</v>
      </c>
      <c r="D922" s="97">
        <f>D921</f>
        <v>94.097500000000011</v>
      </c>
      <c r="E922" s="265"/>
      <c r="F922" s="304">
        <f t="shared" si="41"/>
        <v>0</v>
      </c>
      <c r="I922" s="95"/>
    </row>
    <row r="923" spans="1:9" ht="14.25" x14ac:dyDescent="0.2">
      <c r="B923" s="98" t="s">
        <v>333</v>
      </c>
      <c r="C923" s="47" t="s">
        <v>255</v>
      </c>
      <c r="D923" s="97">
        <f>D922*5.38</f>
        <v>506.24455000000006</v>
      </c>
      <c r="E923" s="265"/>
      <c r="F923" s="304">
        <f t="shared" si="41"/>
        <v>0</v>
      </c>
      <c r="I923" s="95"/>
    </row>
    <row r="924" spans="1:9" ht="27" x14ac:dyDescent="0.2">
      <c r="B924" s="99" t="s">
        <v>334</v>
      </c>
      <c r="C924" s="47" t="s">
        <v>255</v>
      </c>
      <c r="D924" s="97">
        <f>D922*9*0.35*0.911</f>
        <v>270.02689087499999</v>
      </c>
      <c r="E924" s="265"/>
      <c r="F924" s="304">
        <f t="shared" si="41"/>
        <v>0</v>
      </c>
      <c r="I924" s="95"/>
    </row>
    <row r="925" spans="1:9" ht="25.5" x14ac:dyDescent="0.2">
      <c r="B925" s="100" t="s">
        <v>335</v>
      </c>
      <c r="C925" s="47" t="s">
        <v>255</v>
      </c>
      <c r="D925" s="97">
        <f>0.25*D923</f>
        <v>126.56113750000002</v>
      </c>
      <c r="E925" s="265"/>
      <c r="F925" s="304">
        <f t="shared" si="41"/>
        <v>0</v>
      </c>
      <c r="I925" s="95"/>
    </row>
    <row r="926" spans="1:9" x14ac:dyDescent="0.2">
      <c r="B926" s="20"/>
      <c r="D926" s="18"/>
      <c r="E926" s="265"/>
      <c r="F926" s="304"/>
      <c r="I926" s="95"/>
    </row>
    <row r="927" spans="1:9" x14ac:dyDescent="0.2">
      <c r="B927" s="8" t="s">
        <v>103</v>
      </c>
      <c r="D927" s="18"/>
      <c r="E927" s="265"/>
      <c r="F927" s="304"/>
      <c r="I927" s="95"/>
    </row>
    <row r="928" spans="1:9" ht="14.25" x14ac:dyDescent="0.2">
      <c r="A928" s="1" t="s">
        <v>239</v>
      </c>
      <c r="B928" s="28" t="s">
        <v>98</v>
      </c>
      <c r="C928" s="3" t="s">
        <v>48</v>
      </c>
      <c r="D928" s="18">
        <f>17.35*6.65</f>
        <v>115.37750000000001</v>
      </c>
      <c r="E928" s="265"/>
      <c r="F928" s="304">
        <f t="shared" si="41"/>
        <v>0</v>
      </c>
      <c r="I928" s="95"/>
    </row>
    <row r="929" spans="1:9" ht="14.25" x14ac:dyDescent="0.2">
      <c r="B929" s="96" t="s">
        <v>331</v>
      </c>
      <c r="C929" s="47" t="s">
        <v>332</v>
      </c>
      <c r="D929" s="97">
        <f>D928</f>
        <v>115.37750000000001</v>
      </c>
      <c r="E929" s="265"/>
      <c r="F929" s="304">
        <f t="shared" si="41"/>
        <v>0</v>
      </c>
      <c r="I929" s="95"/>
    </row>
    <row r="930" spans="1:9" ht="14.25" x14ac:dyDescent="0.2">
      <c r="B930" s="98" t="s">
        <v>333</v>
      </c>
      <c r="C930" s="47" t="s">
        <v>255</v>
      </c>
      <c r="D930" s="97">
        <f>D929*5.38</f>
        <v>620.73095000000001</v>
      </c>
      <c r="E930" s="265"/>
      <c r="F930" s="304">
        <f t="shared" si="41"/>
        <v>0</v>
      </c>
      <c r="I930" s="95"/>
    </row>
    <row r="931" spans="1:9" ht="27" x14ac:dyDescent="0.2">
      <c r="B931" s="99" t="s">
        <v>334</v>
      </c>
      <c r="C931" s="47" t="s">
        <v>255</v>
      </c>
      <c r="D931" s="97">
        <f>D929*9*0.35*0.911</f>
        <v>331.09304287499998</v>
      </c>
      <c r="E931" s="265"/>
      <c r="F931" s="304">
        <f t="shared" si="41"/>
        <v>0</v>
      </c>
      <c r="I931" s="95"/>
    </row>
    <row r="932" spans="1:9" ht="25.5" x14ac:dyDescent="0.2">
      <c r="B932" s="100" t="s">
        <v>335</v>
      </c>
      <c r="C932" s="47" t="s">
        <v>255</v>
      </c>
      <c r="D932" s="97">
        <f>0.25*D930</f>
        <v>155.1827375</v>
      </c>
      <c r="E932" s="265"/>
      <c r="F932" s="304">
        <f t="shared" si="41"/>
        <v>0</v>
      </c>
      <c r="I932" s="95"/>
    </row>
    <row r="933" spans="1:9" x14ac:dyDescent="0.2">
      <c r="D933" s="18"/>
      <c r="E933" s="265"/>
      <c r="F933" s="304"/>
      <c r="I933" s="95"/>
    </row>
    <row r="934" spans="1:9" ht="14.25" x14ac:dyDescent="0.2">
      <c r="A934" s="1" t="s">
        <v>240</v>
      </c>
      <c r="B934" s="28" t="s">
        <v>106</v>
      </c>
      <c r="C934" s="3" t="s">
        <v>48</v>
      </c>
      <c r="D934" s="18">
        <f>17.35*4</f>
        <v>69.400000000000006</v>
      </c>
      <c r="E934" s="265"/>
      <c r="F934" s="304">
        <f t="shared" si="41"/>
        <v>0</v>
      </c>
      <c r="I934" s="95"/>
    </row>
    <row r="935" spans="1:9" ht="14.25" x14ac:dyDescent="0.2">
      <c r="B935" s="96" t="s">
        <v>331</v>
      </c>
      <c r="C935" s="47" t="s">
        <v>332</v>
      </c>
      <c r="D935" s="97">
        <f>D934</f>
        <v>69.400000000000006</v>
      </c>
      <c r="E935" s="265"/>
      <c r="F935" s="304">
        <f t="shared" si="41"/>
        <v>0</v>
      </c>
      <c r="I935" s="95"/>
    </row>
    <row r="936" spans="1:9" ht="14.25" x14ac:dyDescent="0.2">
      <c r="B936" s="98" t="s">
        <v>333</v>
      </c>
      <c r="C936" s="47" t="s">
        <v>255</v>
      </c>
      <c r="D936" s="97">
        <f>D935*5.38</f>
        <v>373.37200000000001</v>
      </c>
      <c r="E936" s="265"/>
      <c r="F936" s="304">
        <f t="shared" si="41"/>
        <v>0</v>
      </c>
      <c r="I936" s="95"/>
    </row>
    <row r="937" spans="1:9" ht="27" x14ac:dyDescent="0.2">
      <c r="B937" s="99" t="s">
        <v>334</v>
      </c>
      <c r="C937" s="47" t="s">
        <v>255</v>
      </c>
      <c r="D937" s="97">
        <f>D935*9*0.35*0.911</f>
        <v>199.15370999999999</v>
      </c>
      <c r="E937" s="265"/>
      <c r="F937" s="304">
        <f t="shared" si="41"/>
        <v>0</v>
      </c>
      <c r="I937" s="95"/>
    </row>
    <row r="938" spans="1:9" ht="25.5" x14ac:dyDescent="0.2">
      <c r="B938" s="100" t="s">
        <v>335</v>
      </c>
      <c r="C938" s="47" t="s">
        <v>255</v>
      </c>
      <c r="D938" s="97">
        <f>0.25*D936</f>
        <v>93.343000000000004</v>
      </c>
      <c r="E938" s="265"/>
      <c r="F938" s="304">
        <f t="shared" si="41"/>
        <v>0</v>
      </c>
      <c r="I938" s="95"/>
    </row>
    <row r="939" spans="1:9" x14ac:dyDescent="0.2">
      <c r="D939" s="18"/>
      <c r="E939" s="265"/>
      <c r="F939" s="304"/>
      <c r="I939" s="95"/>
    </row>
    <row r="940" spans="1:9" ht="14.25" x14ac:dyDescent="0.2">
      <c r="A940" s="1" t="s">
        <v>241</v>
      </c>
      <c r="B940" s="28" t="s">
        <v>102</v>
      </c>
      <c r="C940" s="3" t="s">
        <v>48</v>
      </c>
      <c r="D940" s="18">
        <f>14.15*6.65</f>
        <v>94.097500000000011</v>
      </c>
      <c r="E940" s="265"/>
      <c r="F940" s="304">
        <f t="shared" si="41"/>
        <v>0</v>
      </c>
      <c r="I940" s="95"/>
    </row>
    <row r="941" spans="1:9" ht="14.25" x14ac:dyDescent="0.2">
      <c r="B941" s="96" t="s">
        <v>331</v>
      </c>
      <c r="C941" s="47" t="s">
        <v>332</v>
      </c>
      <c r="D941" s="97">
        <f>D940</f>
        <v>94.097500000000011</v>
      </c>
      <c r="E941" s="265"/>
      <c r="F941" s="304">
        <f t="shared" si="41"/>
        <v>0</v>
      </c>
      <c r="I941" s="95"/>
    </row>
    <row r="942" spans="1:9" ht="14.25" x14ac:dyDescent="0.2">
      <c r="B942" s="98" t="s">
        <v>333</v>
      </c>
      <c r="C942" s="47" t="s">
        <v>255</v>
      </c>
      <c r="D942" s="97">
        <f>D941*5.38</f>
        <v>506.24455000000006</v>
      </c>
      <c r="E942" s="265"/>
      <c r="F942" s="304">
        <f t="shared" si="41"/>
        <v>0</v>
      </c>
      <c r="I942" s="95"/>
    </row>
    <row r="943" spans="1:9" ht="27" x14ac:dyDescent="0.2">
      <c r="B943" s="99" t="s">
        <v>334</v>
      </c>
      <c r="C943" s="47" t="s">
        <v>255</v>
      </c>
      <c r="D943" s="97">
        <f>D941*9*0.35*0.911</f>
        <v>270.02689087499999</v>
      </c>
      <c r="E943" s="265"/>
      <c r="F943" s="304">
        <f t="shared" si="41"/>
        <v>0</v>
      </c>
      <c r="I943" s="95"/>
    </row>
    <row r="944" spans="1:9" ht="25.5" x14ac:dyDescent="0.2">
      <c r="B944" s="100" t="s">
        <v>335</v>
      </c>
      <c r="C944" s="47" t="s">
        <v>255</v>
      </c>
      <c r="D944" s="97">
        <f>0.25*D942</f>
        <v>126.56113750000002</v>
      </c>
      <c r="E944" s="265"/>
      <c r="F944" s="304">
        <f t="shared" si="41"/>
        <v>0</v>
      </c>
      <c r="I944" s="95"/>
    </row>
    <row r="945" spans="1:9" x14ac:dyDescent="0.2">
      <c r="B945" s="100"/>
      <c r="C945" s="47"/>
      <c r="D945" s="97"/>
      <c r="E945" s="265"/>
      <c r="F945" s="304"/>
      <c r="I945" s="95"/>
    </row>
    <row r="946" spans="1:9" x14ac:dyDescent="0.2">
      <c r="B946" s="8" t="s">
        <v>108</v>
      </c>
      <c r="D946" s="18"/>
      <c r="E946" s="265"/>
      <c r="F946" s="304"/>
      <c r="I946" s="95"/>
    </row>
    <row r="947" spans="1:9" ht="14.25" x14ac:dyDescent="0.2">
      <c r="A947" s="1" t="s">
        <v>242</v>
      </c>
      <c r="B947" s="28" t="s">
        <v>100</v>
      </c>
      <c r="C947" s="3" t="s">
        <v>48</v>
      </c>
      <c r="D947" s="18">
        <f>17.35*4.45</f>
        <v>77.20750000000001</v>
      </c>
      <c r="E947" s="265"/>
      <c r="F947" s="304">
        <f t="shared" si="41"/>
        <v>0</v>
      </c>
      <c r="I947" s="95"/>
    </row>
    <row r="948" spans="1:9" ht="14.25" x14ac:dyDescent="0.2">
      <c r="B948" s="96" t="s">
        <v>331</v>
      </c>
      <c r="C948" s="47" t="s">
        <v>332</v>
      </c>
      <c r="D948" s="97">
        <f>D947</f>
        <v>77.20750000000001</v>
      </c>
      <c r="E948" s="265"/>
      <c r="F948" s="304">
        <f t="shared" si="41"/>
        <v>0</v>
      </c>
      <c r="I948" s="95"/>
    </row>
    <row r="949" spans="1:9" ht="14.25" x14ac:dyDescent="0.2">
      <c r="B949" s="98" t="s">
        <v>333</v>
      </c>
      <c r="C949" s="47" t="s">
        <v>255</v>
      </c>
      <c r="D949" s="97">
        <f>D948*5.38</f>
        <v>415.37635000000006</v>
      </c>
      <c r="E949" s="265"/>
      <c r="F949" s="304">
        <f t="shared" si="41"/>
        <v>0</v>
      </c>
      <c r="I949" s="95"/>
    </row>
    <row r="950" spans="1:9" ht="27" x14ac:dyDescent="0.2">
      <c r="B950" s="99" t="s">
        <v>334</v>
      </c>
      <c r="C950" s="47" t="s">
        <v>255</v>
      </c>
      <c r="D950" s="97">
        <f>D948*9*0.35*0.911</f>
        <v>221.55850237500002</v>
      </c>
      <c r="E950" s="265"/>
      <c r="F950" s="304">
        <f t="shared" si="41"/>
        <v>0</v>
      </c>
      <c r="I950" s="95"/>
    </row>
    <row r="951" spans="1:9" ht="25.5" x14ac:dyDescent="0.2">
      <c r="B951" s="100" t="s">
        <v>335</v>
      </c>
      <c r="C951" s="47" t="s">
        <v>255</v>
      </c>
      <c r="D951" s="97">
        <f>0.25*D949</f>
        <v>103.84408750000001</v>
      </c>
      <c r="E951" s="265"/>
      <c r="F951" s="304">
        <f t="shared" si="41"/>
        <v>0</v>
      </c>
      <c r="I951" s="95"/>
    </row>
    <row r="952" spans="1:9" x14ac:dyDescent="0.2">
      <c r="B952" s="99"/>
      <c r="C952" s="47"/>
      <c r="D952" s="97"/>
      <c r="E952" s="265"/>
      <c r="F952" s="304"/>
      <c r="I952" s="95"/>
    </row>
    <row r="953" spans="1:9" ht="14.25" x14ac:dyDescent="0.2">
      <c r="A953" s="1" t="s">
        <v>243</v>
      </c>
      <c r="B953" s="28" t="s">
        <v>111</v>
      </c>
      <c r="C953" s="3" t="s">
        <v>48</v>
      </c>
      <c r="D953" s="18">
        <f>17.35*2.8</f>
        <v>48.58</v>
      </c>
      <c r="E953" s="265"/>
      <c r="F953" s="304">
        <f t="shared" si="41"/>
        <v>0</v>
      </c>
      <c r="I953" s="95"/>
    </row>
    <row r="954" spans="1:9" ht="14.25" x14ac:dyDescent="0.2">
      <c r="B954" s="96" t="s">
        <v>331</v>
      </c>
      <c r="C954" s="47" t="s">
        <v>332</v>
      </c>
      <c r="D954" s="97">
        <f>D953</f>
        <v>48.58</v>
      </c>
      <c r="E954" s="265"/>
      <c r="F954" s="304">
        <f t="shared" si="41"/>
        <v>0</v>
      </c>
      <c r="I954" s="95"/>
    </row>
    <row r="955" spans="1:9" ht="14.25" x14ac:dyDescent="0.2">
      <c r="B955" s="98" t="s">
        <v>333</v>
      </c>
      <c r="C955" s="47" t="s">
        <v>255</v>
      </c>
      <c r="D955" s="97">
        <f>D954*5.38</f>
        <v>261.36039999999997</v>
      </c>
      <c r="E955" s="265"/>
      <c r="F955" s="304">
        <f t="shared" si="41"/>
        <v>0</v>
      </c>
      <c r="I955" s="95"/>
    </row>
    <row r="956" spans="1:9" ht="27" x14ac:dyDescent="0.2">
      <c r="B956" s="99" t="s">
        <v>334</v>
      </c>
      <c r="C956" s="47" t="s">
        <v>255</v>
      </c>
      <c r="D956" s="97">
        <f>D954*9*0.35*0.911</f>
        <v>139.40759699999998</v>
      </c>
      <c r="E956" s="265"/>
      <c r="F956" s="304">
        <f t="shared" si="41"/>
        <v>0</v>
      </c>
      <c r="I956" s="95"/>
    </row>
    <row r="957" spans="1:9" ht="25.5" x14ac:dyDescent="0.2">
      <c r="B957" s="100" t="s">
        <v>335</v>
      </c>
      <c r="C957" s="47" t="s">
        <v>255</v>
      </c>
      <c r="D957" s="97">
        <f>0.25*D955</f>
        <v>65.340099999999993</v>
      </c>
      <c r="E957" s="265"/>
      <c r="F957" s="304">
        <f t="shared" si="41"/>
        <v>0</v>
      </c>
      <c r="I957" s="95"/>
    </row>
    <row r="958" spans="1:9" x14ac:dyDescent="0.2">
      <c r="B958" s="98"/>
      <c r="C958" s="47"/>
      <c r="D958" s="97"/>
      <c r="E958" s="265"/>
      <c r="F958" s="304"/>
      <c r="I958" s="95"/>
    </row>
    <row r="959" spans="1:9" ht="14.25" x14ac:dyDescent="0.2">
      <c r="A959" s="1" t="s">
        <v>244</v>
      </c>
      <c r="B959" s="28" t="s">
        <v>106</v>
      </c>
      <c r="C959" s="3" t="s">
        <v>48</v>
      </c>
      <c r="D959" s="18">
        <f>17.35*4.45</f>
        <v>77.20750000000001</v>
      </c>
      <c r="E959" s="265"/>
      <c r="F959" s="304">
        <f t="shared" si="41"/>
        <v>0</v>
      </c>
      <c r="I959" s="95"/>
    </row>
    <row r="960" spans="1:9" ht="14.25" x14ac:dyDescent="0.2">
      <c r="B960" s="96" t="s">
        <v>331</v>
      </c>
      <c r="C960" s="47" t="s">
        <v>332</v>
      </c>
      <c r="D960" s="97">
        <f>D959</f>
        <v>77.20750000000001</v>
      </c>
      <c r="E960" s="265"/>
      <c r="F960" s="304">
        <f t="shared" si="41"/>
        <v>0</v>
      </c>
      <c r="I960" s="95"/>
    </row>
    <row r="961" spans="1:9" ht="14.25" x14ac:dyDescent="0.2">
      <c r="B961" s="98" t="s">
        <v>333</v>
      </c>
      <c r="C961" s="47" t="s">
        <v>255</v>
      </c>
      <c r="D961" s="97">
        <f>D960*5.38</f>
        <v>415.37635000000006</v>
      </c>
      <c r="E961" s="265"/>
      <c r="F961" s="304">
        <f t="shared" si="41"/>
        <v>0</v>
      </c>
      <c r="I961" s="95"/>
    </row>
    <row r="962" spans="1:9" ht="27" x14ac:dyDescent="0.2">
      <c r="B962" s="99" t="s">
        <v>334</v>
      </c>
      <c r="C962" s="47" t="s">
        <v>255</v>
      </c>
      <c r="D962" s="97">
        <f>D960*9*0.35*0.911</f>
        <v>221.55850237500002</v>
      </c>
      <c r="E962" s="265"/>
      <c r="F962" s="304">
        <f t="shared" si="41"/>
        <v>0</v>
      </c>
      <c r="I962" s="95"/>
    </row>
    <row r="963" spans="1:9" ht="13.5" customHeight="1" x14ac:dyDescent="0.2">
      <c r="B963" s="100" t="s">
        <v>335</v>
      </c>
      <c r="C963" s="47" t="s">
        <v>255</v>
      </c>
      <c r="D963" s="97">
        <f>0.25*D961</f>
        <v>103.84408750000001</v>
      </c>
      <c r="E963" s="265"/>
      <c r="F963" s="304">
        <f t="shared" si="41"/>
        <v>0</v>
      </c>
      <c r="I963" s="95"/>
    </row>
    <row r="964" spans="1:9" ht="13.5" customHeight="1" x14ac:dyDescent="0.2">
      <c r="B964" s="100"/>
      <c r="C964" s="47"/>
      <c r="D964" s="97"/>
      <c r="E964" s="265"/>
      <c r="F964" s="304"/>
      <c r="I964" s="95"/>
    </row>
    <row r="965" spans="1:9" ht="68.25" customHeight="1" x14ac:dyDescent="0.2">
      <c r="A965" s="81" t="s">
        <v>246</v>
      </c>
      <c r="B965" s="101" t="s">
        <v>336</v>
      </c>
      <c r="C965" s="83"/>
      <c r="D965" s="84"/>
      <c r="E965" s="269"/>
      <c r="F965" s="304"/>
      <c r="I965" s="95"/>
    </row>
    <row r="966" spans="1:9" ht="13.5" customHeight="1" x14ac:dyDescent="0.2">
      <c r="A966" s="102"/>
      <c r="B966" s="103" t="s">
        <v>326</v>
      </c>
      <c r="C966" s="91" t="s">
        <v>327</v>
      </c>
      <c r="D966" s="92">
        <f>D347</f>
        <v>6</v>
      </c>
      <c r="E966" s="271"/>
      <c r="F966" s="304">
        <f t="shared" ref="F966:F1027" si="42">ROUND(D966*E966,2)</f>
        <v>0</v>
      </c>
      <c r="I966" s="95"/>
    </row>
    <row r="967" spans="1:9" ht="13.5" customHeight="1" x14ac:dyDescent="0.2">
      <c r="A967" s="102"/>
      <c r="B967" s="93" t="s">
        <v>337</v>
      </c>
      <c r="C967" s="94" t="s">
        <v>255</v>
      </c>
      <c r="D967" s="92">
        <f>150*D966</f>
        <v>900</v>
      </c>
      <c r="E967" s="271"/>
      <c r="F967" s="304">
        <f t="shared" si="42"/>
        <v>0</v>
      </c>
      <c r="I967" s="95"/>
    </row>
    <row r="968" spans="1:9" ht="13.5" customHeight="1" x14ac:dyDescent="0.2">
      <c r="B968" s="100"/>
      <c r="C968" s="47"/>
      <c r="D968" s="97"/>
      <c r="E968" s="265"/>
      <c r="F968" s="304"/>
      <c r="I968" s="95"/>
    </row>
    <row r="969" spans="1:9" ht="66" customHeight="1" x14ac:dyDescent="0.2">
      <c r="B969" s="26" t="s">
        <v>140</v>
      </c>
      <c r="C969" s="47"/>
      <c r="D969" s="97"/>
      <c r="E969" s="265"/>
      <c r="F969" s="304"/>
      <c r="I969" s="95"/>
    </row>
    <row r="970" spans="1:9" ht="130.5" customHeight="1" x14ac:dyDescent="0.2">
      <c r="A970" s="1" t="s">
        <v>59</v>
      </c>
      <c r="B970" s="104" t="s">
        <v>338</v>
      </c>
      <c r="C970" s="47"/>
      <c r="D970" s="48"/>
      <c r="E970" s="259"/>
      <c r="F970" s="304"/>
      <c r="I970" s="95"/>
    </row>
    <row r="971" spans="1:9" ht="13.5" customHeight="1" x14ac:dyDescent="0.2">
      <c r="B971" s="76" t="s">
        <v>339</v>
      </c>
      <c r="C971" s="47" t="s">
        <v>255</v>
      </c>
      <c r="D971" s="86">
        <f>2.536*0.3*34</f>
        <v>25.8672</v>
      </c>
      <c r="E971" s="265"/>
      <c r="F971" s="304">
        <f t="shared" si="42"/>
        <v>0</v>
      </c>
      <c r="I971" s="95"/>
    </row>
    <row r="972" spans="1:9" ht="13.5" customHeight="1" x14ac:dyDescent="0.2">
      <c r="B972" s="100"/>
      <c r="C972" s="47"/>
      <c r="D972" s="97"/>
      <c r="E972" s="265"/>
      <c r="F972" s="304"/>
      <c r="I972" s="95"/>
    </row>
    <row r="973" spans="1:9" ht="40.5" customHeight="1" x14ac:dyDescent="0.2">
      <c r="B973" s="45" t="s">
        <v>144</v>
      </c>
      <c r="C973" s="47"/>
      <c r="D973" s="97"/>
      <c r="E973" s="265"/>
      <c r="F973" s="304"/>
      <c r="I973" s="95"/>
    </row>
    <row r="974" spans="1:9" ht="14.25" customHeight="1" x14ac:dyDescent="0.2">
      <c r="B974" s="45"/>
      <c r="C974" s="47"/>
      <c r="D974" s="97"/>
      <c r="E974" s="265"/>
      <c r="F974" s="304"/>
      <c r="I974" s="95"/>
    </row>
    <row r="975" spans="1:9" ht="12" customHeight="1" x14ac:dyDescent="0.2">
      <c r="B975" s="45" t="s">
        <v>340</v>
      </c>
      <c r="C975" s="47"/>
      <c r="D975" s="97"/>
      <c r="E975" s="265"/>
      <c r="F975" s="304"/>
      <c r="I975" s="95"/>
    </row>
    <row r="976" spans="1:9" ht="174" customHeight="1" x14ac:dyDescent="0.2">
      <c r="A976" s="1" t="s">
        <v>88</v>
      </c>
      <c r="B976" s="104" t="s">
        <v>341</v>
      </c>
      <c r="C976" s="47"/>
      <c r="D976" s="48"/>
      <c r="E976" s="259"/>
      <c r="F976" s="304"/>
      <c r="I976" s="95"/>
    </row>
    <row r="977" spans="1:9" ht="26.25" customHeight="1" x14ac:dyDescent="0.2">
      <c r="B977" s="105" t="s">
        <v>342</v>
      </c>
      <c r="C977" s="47" t="s">
        <v>255</v>
      </c>
      <c r="D977" s="48">
        <f>1.242*1*(2*94.1)</f>
        <v>233.74439999999998</v>
      </c>
      <c r="E977" s="265"/>
      <c r="F977" s="304">
        <f t="shared" si="42"/>
        <v>0</v>
      </c>
      <c r="H977">
        <f>2*26.8+40.5</f>
        <v>94.1</v>
      </c>
      <c r="I977" s="95"/>
    </row>
    <row r="978" spans="1:9" ht="13.5" customHeight="1" x14ac:dyDescent="0.2">
      <c r="B978" s="104"/>
      <c r="C978" s="47"/>
      <c r="D978" s="48"/>
      <c r="E978" s="259"/>
      <c r="F978" s="304"/>
      <c r="I978" s="95"/>
    </row>
    <row r="979" spans="1:9" ht="294" customHeight="1" x14ac:dyDescent="0.2">
      <c r="A979" s="1" t="s">
        <v>91</v>
      </c>
      <c r="B979" s="104" t="s">
        <v>343</v>
      </c>
      <c r="C979" s="106"/>
      <c r="D979" s="107"/>
      <c r="E979" s="272"/>
      <c r="F979" s="304"/>
      <c r="I979" s="95"/>
    </row>
    <row r="980" spans="1:9" ht="13.5" customHeight="1" x14ac:dyDescent="0.2">
      <c r="B980" s="108" t="s">
        <v>344</v>
      </c>
      <c r="C980" s="47" t="s">
        <v>87</v>
      </c>
      <c r="D980" s="48">
        <f>170*0.06</f>
        <v>10.199999999999999</v>
      </c>
      <c r="E980" s="265"/>
      <c r="F980" s="304">
        <f t="shared" si="42"/>
        <v>0</v>
      </c>
      <c r="I980" s="95"/>
    </row>
    <row r="981" spans="1:9" ht="13.5" customHeight="1" x14ac:dyDescent="0.2">
      <c r="B981" s="104"/>
      <c r="C981" s="47"/>
      <c r="D981" s="48"/>
      <c r="E981" s="259"/>
      <c r="F981" s="304"/>
      <c r="I981" s="95"/>
    </row>
    <row r="982" spans="1:9" ht="100.5" customHeight="1" x14ac:dyDescent="0.2">
      <c r="A982" s="1" t="s">
        <v>94</v>
      </c>
      <c r="B982" s="104" t="s">
        <v>345</v>
      </c>
      <c r="C982" s="109"/>
      <c r="D982" s="110"/>
      <c r="E982" s="273"/>
      <c r="F982" s="304"/>
      <c r="I982" s="95"/>
    </row>
    <row r="983" spans="1:9" ht="13.5" customHeight="1" x14ac:dyDescent="0.2">
      <c r="B983" s="108" t="s">
        <v>346</v>
      </c>
      <c r="C983" s="47" t="s">
        <v>255</v>
      </c>
      <c r="D983" s="48">
        <f>170*3.03</f>
        <v>515.1</v>
      </c>
      <c r="E983" s="265"/>
      <c r="F983" s="304">
        <f t="shared" si="42"/>
        <v>0</v>
      </c>
      <c r="I983" s="95"/>
    </row>
    <row r="984" spans="1:9" ht="13.5" customHeight="1" x14ac:dyDescent="0.2">
      <c r="B984" s="108"/>
      <c r="C984" s="47"/>
      <c r="D984" s="48"/>
      <c r="E984" s="265"/>
      <c r="F984" s="304"/>
      <c r="I984" s="95"/>
    </row>
    <row r="985" spans="1:9" ht="144.75" customHeight="1" x14ac:dyDescent="0.2">
      <c r="A985" s="1" t="s">
        <v>114</v>
      </c>
      <c r="B985" s="104" t="s">
        <v>347</v>
      </c>
      <c r="C985" s="109"/>
      <c r="D985" s="110"/>
      <c r="E985" s="273"/>
      <c r="F985" s="304"/>
      <c r="I985" s="95"/>
    </row>
    <row r="986" spans="1:9" ht="39.75" customHeight="1" x14ac:dyDescent="0.2">
      <c r="B986" s="105" t="s">
        <v>348</v>
      </c>
      <c r="C986" s="47" t="s">
        <v>255</v>
      </c>
      <c r="D986" s="48">
        <f>0.35*1.621*1450</f>
        <v>822.65749999999991</v>
      </c>
      <c r="E986" s="265"/>
      <c r="F986" s="304">
        <f t="shared" si="42"/>
        <v>0</v>
      </c>
      <c r="H986">
        <f>26*((535/17)+(385/17))</f>
        <v>1407.0588235294117</v>
      </c>
      <c r="I986" s="95"/>
    </row>
    <row r="987" spans="1:9" ht="13.5" customHeight="1" x14ac:dyDescent="0.2">
      <c r="B987" s="100"/>
      <c r="C987" s="47"/>
      <c r="D987" s="97"/>
      <c r="E987" s="265"/>
      <c r="F987" s="304"/>
      <c r="I987" s="95"/>
    </row>
    <row r="988" spans="1:9" ht="40.5" customHeight="1" x14ac:dyDescent="0.2">
      <c r="A988" s="1" t="s">
        <v>125</v>
      </c>
      <c r="B988" s="99" t="s">
        <v>349</v>
      </c>
      <c r="C988" s="47"/>
      <c r="D988" s="97"/>
      <c r="E988" s="265"/>
      <c r="F988" s="304"/>
      <c r="I988" s="95"/>
    </row>
    <row r="989" spans="1:9" ht="15" customHeight="1" x14ac:dyDescent="0.2">
      <c r="B989" s="105" t="s">
        <v>350</v>
      </c>
      <c r="C989" s="47" t="s">
        <v>255</v>
      </c>
      <c r="D989" s="48">
        <f>1.242*2*53</f>
        <v>131.65199999999999</v>
      </c>
      <c r="E989" s="265"/>
      <c r="F989" s="304">
        <f t="shared" si="42"/>
        <v>0</v>
      </c>
      <c r="I989" s="95"/>
    </row>
    <row r="990" spans="1:9" ht="15" customHeight="1" x14ac:dyDescent="0.2">
      <c r="B990" s="105"/>
      <c r="C990" s="47"/>
      <c r="D990" s="48"/>
      <c r="E990" s="265"/>
      <c r="F990" s="304"/>
      <c r="I990" s="95"/>
    </row>
    <row r="991" spans="1:9" ht="15" customHeight="1" x14ac:dyDescent="0.2">
      <c r="B991" s="105"/>
      <c r="C991" s="47"/>
      <c r="D991" s="48"/>
      <c r="E991" s="265"/>
      <c r="F991" s="304"/>
      <c r="I991" s="95"/>
    </row>
    <row r="992" spans="1:9" ht="13.5" customHeight="1" x14ac:dyDescent="0.2">
      <c r="B992" s="100"/>
      <c r="C992" s="47"/>
      <c r="D992" s="97"/>
      <c r="E992" s="265"/>
      <c r="F992" s="304"/>
      <c r="I992" s="95"/>
    </row>
    <row r="993" spans="1:9" ht="13.5" customHeight="1" x14ac:dyDescent="0.2">
      <c r="B993" s="45" t="s">
        <v>351</v>
      </c>
      <c r="C993" s="47"/>
      <c r="D993" s="97"/>
      <c r="E993" s="265"/>
      <c r="F993" s="304"/>
      <c r="I993" s="95"/>
    </row>
    <row r="994" spans="1:9" ht="186.75" customHeight="1" x14ac:dyDescent="0.2">
      <c r="A994" s="1" t="s">
        <v>136</v>
      </c>
      <c r="B994" s="104" t="s">
        <v>341</v>
      </c>
      <c r="C994" s="47"/>
      <c r="D994" s="48"/>
      <c r="E994" s="259"/>
      <c r="F994" s="304"/>
      <c r="I994" s="95"/>
    </row>
    <row r="995" spans="1:9" ht="28.5" customHeight="1" x14ac:dyDescent="0.2">
      <c r="B995" s="105" t="s">
        <v>342</v>
      </c>
      <c r="C995" s="47" t="s">
        <v>255</v>
      </c>
      <c r="D995" s="48">
        <f>1.242*1*(2*94.1)</f>
        <v>233.74439999999998</v>
      </c>
      <c r="E995" s="265"/>
      <c r="F995" s="304">
        <f t="shared" si="42"/>
        <v>0</v>
      </c>
      <c r="I995" s="95"/>
    </row>
    <row r="996" spans="1:9" ht="13.5" customHeight="1" x14ac:dyDescent="0.2">
      <c r="B996" s="104"/>
      <c r="C996" s="47"/>
      <c r="D996" s="48"/>
      <c r="E996" s="259"/>
      <c r="F996" s="304"/>
      <c r="I996" s="95"/>
    </row>
    <row r="997" spans="1:9" ht="194.25" customHeight="1" x14ac:dyDescent="0.2">
      <c r="A997" s="1" t="s">
        <v>141</v>
      </c>
      <c r="B997" s="104" t="s">
        <v>343</v>
      </c>
      <c r="C997" s="106"/>
      <c r="D997" s="107"/>
      <c r="E997" s="272"/>
      <c r="F997" s="304"/>
      <c r="I997" s="95"/>
    </row>
    <row r="998" spans="1:9" ht="13.5" customHeight="1" x14ac:dyDescent="0.2">
      <c r="B998" s="108" t="s">
        <v>344</v>
      </c>
      <c r="C998" s="47" t="s">
        <v>87</v>
      </c>
      <c r="D998" s="48">
        <f>170*0.06</f>
        <v>10.199999999999999</v>
      </c>
      <c r="E998" s="265"/>
      <c r="F998" s="304">
        <f t="shared" si="42"/>
        <v>0</v>
      </c>
      <c r="I998" s="95"/>
    </row>
    <row r="999" spans="1:9" ht="13.5" customHeight="1" x14ac:dyDescent="0.2">
      <c r="B999" s="104"/>
      <c r="C999" s="47"/>
      <c r="D999" s="48"/>
      <c r="E999" s="259"/>
      <c r="F999" s="304"/>
      <c r="I999" s="95"/>
    </row>
    <row r="1000" spans="1:9" ht="96" customHeight="1" x14ac:dyDescent="0.2">
      <c r="A1000" s="1" t="s">
        <v>145</v>
      </c>
      <c r="B1000" s="104" t="s">
        <v>345</v>
      </c>
      <c r="C1000" s="109"/>
      <c r="D1000" s="110"/>
      <c r="E1000" s="273"/>
      <c r="F1000" s="304"/>
      <c r="I1000" s="95"/>
    </row>
    <row r="1001" spans="1:9" ht="13.5" customHeight="1" x14ac:dyDescent="0.2">
      <c r="B1001" s="108" t="s">
        <v>346</v>
      </c>
      <c r="C1001" s="47" t="s">
        <v>255</v>
      </c>
      <c r="D1001" s="48">
        <f>170*3.03</f>
        <v>515.1</v>
      </c>
      <c r="E1001" s="265"/>
      <c r="F1001" s="304">
        <f t="shared" si="42"/>
        <v>0</v>
      </c>
      <c r="I1001" s="95"/>
    </row>
    <row r="1002" spans="1:9" ht="13.5" customHeight="1" x14ac:dyDescent="0.2">
      <c r="B1002" s="108"/>
      <c r="C1002" s="47"/>
      <c r="D1002" s="48"/>
      <c r="E1002" s="265"/>
      <c r="F1002" s="304"/>
      <c r="I1002" s="95"/>
    </row>
    <row r="1003" spans="1:9" ht="13.5" customHeight="1" x14ac:dyDescent="0.2">
      <c r="B1003" s="108"/>
      <c r="C1003" s="47"/>
      <c r="D1003" s="48"/>
      <c r="E1003" s="265"/>
      <c r="F1003" s="304"/>
      <c r="I1003" s="95"/>
    </row>
    <row r="1004" spans="1:9" ht="13.5" customHeight="1" x14ac:dyDescent="0.2">
      <c r="B1004" s="108"/>
      <c r="C1004" s="47"/>
      <c r="D1004" s="48"/>
      <c r="E1004" s="265"/>
      <c r="F1004" s="304"/>
      <c r="I1004" s="95"/>
    </row>
    <row r="1005" spans="1:9" ht="13.5" customHeight="1" x14ac:dyDescent="0.2">
      <c r="B1005" s="108"/>
      <c r="C1005" s="47"/>
      <c r="D1005" s="48"/>
      <c r="E1005" s="265"/>
      <c r="F1005" s="304"/>
      <c r="I1005" s="95"/>
    </row>
    <row r="1006" spans="1:9" ht="13.5" customHeight="1" x14ac:dyDescent="0.2">
      <c r="B1006" s="108"/>
      <c r="C1006" s="47"/>
      <c r="D1006" s="48"/>
      <c r="E1006" s="265"/>
      <c r="F1006" s="304"/>
      <c r="I1006" s="95"/>
    </row>
    <row r="1007" spans="1:9" ht="141" customHeight="1" x14ac:dyDescent="0.2">
      <c r="A1007" s="1" t="s">
        <v>153</v>
      </c>
      <c r="B1007" s="104" t="s">
        <v>347</v>
      </c>
      <c r="C1007" s="109"/>
      <c r="D1007" s="110"/>
      <c r="E1007" s="273"/>
      <c r="F1007" s="304"/>
      <c r="I1007" s="95"/>
    </row>
    <row r="1008" spans="1:9" ht="42" customHeight="1" x14ac:dyDescent="0.2">
      <c r="B1008" s="105" t="s">
        <v>348</v>
      </c>
      <c r="C1008" s="47" t="s">
        <v>255</v>
      </c>
      <c r="D1008" s="48">
        <f>0.35*1.621*1450</f>
        <v>822.65749999999991</v>
      </c>
      <c r="E1008" s="265"/>
      <c r="F1008" s="304">
        <f t="shared" si="42"/>
        <v>0</v>
      </c>
      <c r="I1008" s="95"/>
    </row>
    <row r="1009" spans="1:9" ht="13.5" customHeight="1" x14ac:dyDescent="0.2">
      <c r="B1009" s="100"/>
      <c r="C1009" s="47"/>
      <c r="D1009" s="97"/>
      <c r="E1009" s="265"/>
      <c r="F1009" s="304"/>
      <c r="I1009" s="95"/>
    </row>
    <row r="1010" spans="1:9" ht="40.5" customHeight="1" x14ac:dyDescent="0.2">
      <c r="A1010" s="1" t="s">
        <v>159</v>
      </c>
      <c r="B1010" s="99" t="s">
        <v>349</v>
      </c>
      <c r="C1010" s="47"/>
      <c r="D1010" s="97"/>
      <c r="E1010" s="265"/>
      <c r="F1010" s="304"/>
      <c r="I1010" s="95"/>
    </row>
    <row r="1011" spans="1:9" ht="13.5" customHeight="1" x14ac:dyDescent="0.2">
      <c r="B1011" s="105" t="s">
        <v>352</v>
      </c>
      <c r="C1011" s="47" t="s">
        <v>255</v>
      </c>
      <c r="D1011" s="48">
        <f>1.242*2*45</f>
        <v>111.78</v>
      </c>
      <c r="E1011" s="265"/>
      <c r="F1011" s="304">
        <f t="shared" si="42"/>
        <v>0</v>
      </c>
      <c r="I1011" s="95"/>
    </row>
    <row r="1012" spans="1:9" ht="13.5" customHeight="1" x14ac:dyDescent="0.2">
      <c r="B1012" s="100"/>
      <c r="C1012" s="47"/>
      <c r="D1012" s="97"/>
      <c r="E1012" s="265"/>
      <c r="F1012" s="304"/>
      <c r="I1012" s="95"/>
    </row>
    <row r="1013" spans="1:9" ht="13.5" customHeight="1" x14ac:dyDescent="0.2">
      <c r="B1013" s="45" t="s">
        <v>353</v>
      </c>
      <c r="C1013" s="47"/>
      <c r="D1013" s="97"/>
      <c r="E1013" s="265"/>
      <c r="F1013" s="304"/>
      <c r="I1013" s="95"/>
    </row>
    <row r="1014" spans="1:9" ht="169.5" customHeight="1" x14ac:dyDescent="0.2">
      <c r="A1014" s="1" t="s">
        <v>164</v>
      </c>
      <c r="B1014" s="104" t="s">
        <v>341</v>
      </c>
      <c r="C1014" s="47"/>
      <c r="D1014" s="48"/>
      <c r="E1014" s="259"/>
      <c r="F1014" s="304"/>
      <c r="I1014" s="95"/>
    </row>
    <row r="1015" spans="1:9" ht="27.75" customHeight="1" x14ac:dyDescent="0.2">
      <c r="B1015" s="105" t="s">
        <v>354</v>
      </c>
      <c r="C1015" s="47" t="s">
        <v>255</v>
      </c>
      <c r="D1015" s="48">
        <f>1.242*1*(2*92)</f>
        <v>228.52799999999999</v>
      </c>
      <c r="E1015" s="265"/>
      <c r="F1015" s="304">
        <f t="shared" si="42"/>
        <v>0</v>
      </c>
      <c r="G1015">
        <f>19.75*2+26.25*2</f>
        <v>92</v>
      </c>
      <c r="I1015" s="95"/>
    </row>
    <row r="1016" spans="1:9" ht="13.5" customHeight="1" x14ac:dyDescent="0.2">
      <c r="B1016" s="104"/>
      <c r="C1016" s="47"/>
      <c r="D1016" s="48"/>
      <c r="E1016" s="259"/>
      <c r="F1016" s="304"/>
      <c r="I1016" s="95"/>
    </row>
    <row r="1017" spans="1:9" ht="289.5" customHeight="1" x14ac:dyDescent="0.2">
      <c r="A1017" s="1" t="s">
        <v>167</v>
      </c>
      <c r="B1017" s="104" t="s">
        <v>343</v>
      </c>
      <c r="C1017" s="106"/>
      <c r="D1017" s="107"/>
      <c r="E1017" s="272"/>
      <c r="F1017" s="304"/>
      <c r="I1017" s="95"/>
    </row>
    <row r="1018" spans="1:9" ht="13.5" customHeight="1" x14ac:dyDescent="0.2">
      <c r="B1018" s="108" t="s">
        <v>355</v>
      </c>
      <c r="C1018" s="47" t="s">
        <v>87</v>
      </c>
      <c r="D1018" s="48">
        <f>150*0.06</f>
        <v>9</v>
      </c>
      <c r="E1018" s="265"/>
      <c r="F1018" s="304">
        <f t="shared" si="42"/>
        <v>0</v>
      </c>
      <c r="I1018" s="95"/>
    </row>
    <row r="1019" spans="1:9" ht="13.5" customHeight="1" x14ac:dyDescent="0.2">
      <c r="B1019" s="104"/>
      <c r="C1019" s="47"/>
      <c r="D1019" s="48"/>
      <c r="E1019" s="259"/>
      <c r="F1019" s="304"/>
      <c r="I1019" s="95"/>
    </row>
    <row r="1020" spans="1:9" ht="93.75" customHeight="1" x14ac:dyDescent="0.2">
      <c r="A1020" s="1" t="s">
        <v>173</v>
      </c>
      <c r="B1020" s="104" t="s">
        <v>345</v>
      </c>
      <c r="C1020" s="109"/>
      <c r="D1020" s="110"/>
      <c r="E1020" s="273"/>
      <c r="F1020" s="304"/>
      <c r="I1020" s="95"/>
    </row>
    <row r="1021" spans="1:9" ht="13.5" customHeight="1" x14ac:dyDescent="0.2">
      <c r="B1021" s="108" t="s">
        <v>346</v>
      </c>
      <c r="C1021" s="47" t="s">
        <v>255</v>
      </c>
      <c r="D1021" s="48">
        <f>150*3.03</f>
        <v>454.49999999999994</v>
      </c>
      <c r="E1021" s="265"/>
      <c r="F1021" s="304">
        <f t="shared" si="42"/>
        <v>0</v>
      </c>
      <c r="I1021" s="95"/>
    </row>
    <row r="1022" spans="1:9" ht="13.5" customHeight="1" x14ac:dyDescent="0.2">
      <c r="B1022" s="108"/>
      <c r="C1022" s="47"/>
      <c r="D1022" s="48"/>
      <c r="E1022" s="265"/>
      <c r="F1022" s="304"/>
      <c r="I1022" s="95"/>
    </row>
    <row r="1023" spans="1:9" ht="132.75" customHeight="1" x14ac:dyDescent="0.2">
      <c r="A1023" s="1" t="s">
        <v>175</v>
      </c>
      <c r="B1023" s="104" t="s">
        <v>347</v>
      </c>
      <c r="C1023" s="109"/>
      <c r="D1023" s="110"/>
      <c r="E1023" s="273"/>
      <c r="F1023" s="304"/>
      <c r="I1023" s="95"/>
    </row>
    <row r="1024" spans="1:9" ht="40.5" customHeight="1" x14ac:dyDescent="0.2">
      <c r="B1024" s="105" t="s">
        <v>356</v>
      </c>
      <c r="C1024" s="47" t="s">
        <v>255</v>
      </c>
      <c r="D1024" s="48">
        <f>0.35*1.621*1150</f>
        <v>652.45249999999987</v>
      </c>
      <c r="E1024" s="265"/>
      <c r="F1024" s="304">
        <f t="shared" si="42"/>
        <v>0</v>
      </c>
      <c r="H1024">
        <f>20*(337/17)+24*(508/17)</f>
        <v>1113.6470588235295</v>
      </c>
      <c r="I1024" s="95"/>
    </row>
    <row r="1025" spans="1:9" ht="13.5" customHeight="1" x14ac:dyDescent="0.2">
      <c r="B1025" s="100"/>
      <c r="C1025" s="47"/>
      <c r="D1025" s="97"/>
      <c r="E1025" s="265"/>
      <c r="F1025" s="304"/>
      <c r="I1025" s="95"/>
    </row>
    <row r="1026" spans="1:9" ht="42" customHeight="1" x14ac:dyDescent="0.2">
      <c r="A1026" s="1" t="s">
        <v>182</v>
      </c>
      <c r="B1026" s="99" t="s">
        <v>349</v>
      </c>
      <c r="C1026" s="47"/>
      <c r="D1026" s="97"/>
      <c r="E1026" s="265"/>
      <c r="F1026" s="304"/>
      <c r="I1026" s="95"/>
    </row>
    <row r="1027" spans="1:9" ht="13.5" customHeight="1" x14ac:dyDescent="0.2">
      <c r="B1027" s="105" t="s">
        <v>357</v>
      </c>
      <c r="C1027" s="47" t="s">
        <v>255</v>
      </c>
      <c r="D1027" s="48">
        <f>1.242*2*44</f>
        <v>109.29599999999999</v>
      </c>
      <c r="E1027" s="265"/>
      <c r="F1027" s="304">
        <f t="shared" si="42"/>
        <v>0</v>
      </c>
      <c r="I1027" s="95"/>
    </row>
    <row r="1028" spans="1:9" ht="13.5" customHeight="1" x14ac:dyDescent="0.2">
      <c r="B1028" s="105"/>
      <c r="C1028" s="47"/>
      <c r="D1028" s="48"/>
      <c r="E1028" s="265"/>
      <c r="F1028" s="304"/>
      <c r="I1028" s="95"/>
    </row>
    <row r="1029" spans="1:9" ht="13.5" customHeight="1" x14ac:dyDescent="0.2">
      <c r="B1029" s="105"/>
      <c r="C1029" s="47"/>
      <c r="D1029" s="48"/>
      <c r="E1029" s="265"/>
      <c r="F1029" s="304"/>
      <c r="I1029" s="95"/>
    </row>
    <row r="1030" spans="1:9" ht="13.5" customHeight="1" x14ac:dyDescent="0.2">
      <c r="B1030" s="105"/>
      <c r="C1030" s="47"/>
      <c r="D1030" s="48"/>
      <c r="E1030" s="265"/>
      <c r="F1030" s="304"/>
      <c r="I1030" s="95"/>
    </row>
    <row r="1031" spans="1:9" ht="13.5" customHeight="1" x14ac:dyDescent="0.2">
      <c r="B1031" s="105"/>
      <c r="C1031" s="47"/>
      <c r="D1031" s="48"/>
      <c r="E1031" s="265"/>
      <c r="F1031" s="304"/>
      <c r="I1031" s="95"/>
    </row>
    <row r="1032" spans="1:9" ht="13.5" customHeight="1" x14ac:dyDescent="0.2">
      <c r="B1032" s="105"/>
      <c r="C1032" s="47"/>
      <c r="D1032" s="48"/>
      <c r="E1032" s="265"/>
      <c r="F1032" s="304"/>
      <c r="I1032" s="95"/>
    </row>
    <row r="1033" spans="1:9" ht="13.5" customHeight="1" x14ac:dyDescent="0.2">
      <c r="B1033" s="45" t="s">
        <v>358</v>
      </c>
      <c r="C1033" s="47"/>
      <c r="D1033" s="97"/>
      <c r="E1033" s="265"/>
      <c r="F1033" s="304"/>
      <c r="I1033" s="95"/>
    </row>
    <row r="1034" spans="1:9" ht="173.25" customHeight="1" x14ac:dyDescent="0.2">
      <c r="A1034" s="1" t="s">
        <v>195</v>
      </c>
      <c r="B1034" s="104" t="s">
        <v>341</v>
      </c>
      <c r="C1034" s="47"/>
      <c r="D1034" s="48"/>
      <c r="E1034" s="259"/>
      <c r="F1034" s="304"/>
      <c r="I1034" s="95"/>
    </row>
    <row r="1035" spans="1:9" ht="13.5" customHeight="1" x14ac:dyDescent="0.2">
      <c r="B1035" s="105" t="s">
        <v>354</v>
      </c>
      <c r="C1035" s="47" t="s">
        <v>255</v>
      </c>
      <c r="D1035" s="48">
        <f>1.242*1*(2*92)</f>
        <v>228.52799999999999</v>
      </c>
      <c r="E1035" s="265"/>
      <c r="F1035" s="304">
        <f t="shared" ref="F1035:F1069" si="43">ROUND(D1035*E1035,2)</f>
        <v>0</v>
      </c>
      <c r="I1035" s="95"/>
    </row>
    <row r="1036" spans="1:9" ht="13.5" customHeight="1" x14ac:dyDescent="0.2">
      <c r="B1036" s="104"/>
      <c r="C1036" s="47"/>
      <c r="D1036" s="48"/>
      <c r="E1036" s="259"/>
      <c r="F1036" s="304"/>
      <c r="I1036" s="95"/>
    </row>
    <row r="1037" spans="1:9" ht="302.25" customHeight="1" x14ac:dyDescent="0.2">
      <c r="A1037" s="1" t="s">
        <v>201</v>
      </c>
      <c r="B1037" s="104" t="s">
        <v>343</v>
      </c>
      <c r="C1037" s="106"/>
      <c r="D1037" s="107"/>
      <c r="E1037" s="272"/>
      <c r="F1037" s="304"/>
      <c r="I1037" s="95"/>
    </row>
    <row r="1038" spans="1:9" ht="13.5" customHeight="1" x14ac:dyDescent="0.2">
      <c r="B1038" s="108" t="s">
        <v>355</v>
      </c>
      <c r="C1038" s="47" t="s">
        <v>87</v>
      </c>
      <c r="D1038" s="48">
        <f>150*0.06</f>
        <v>9</v>
      </c>
      <c r="E1038" s="265"/>
      <c r="F1038" s="304">
        <f t="shared" si="43"/>
        <v>0</v>
      </c>
      <c r="I1038" s="95"/>
    </row>
    <row r="1039" spans="1:9" ht="13.5" customHeight="1" x14ac:dyDescent="0.2">
      <c r="B1039" s="104"/>
      <c r="C1039" s="47"/>
      <c r="D1039" s="48"/>
      <c r="E1039" s="259"/>
      <c r="F1039" s="304"/>
      <c r="I1039" s="95"/>
    </row>
    <row r="1040" spans="1:9" ht="93.75" customHeight="1" x14ac:dyDescent="0.2">
      <c r="A1040" s="1" t="s">
        <v>208</v>
      </c>
      <c r="B1040" s="104" t="s">
        <v>345</v>
      </c>
      <c r="C1040" s="109"/>
      <c r="D1040" s="110"/>
      <c r="E1040" s="273"/>
      <c r="F1040" s="304"/>
      <c r="I1040" s="95"/>
    </row>
    <row r="1041" spans="1:9" ht="13.5" customHeight="1" x14ac:dyDescent="0.2">
      <c r="B1041" s="108" t="s">
        <v>346</v>
      </c>
      <c r="C1041" s="47" t="s">
        <v>255</v>
      </c>
      <c r="D1041" s="48">
        <f>150*3.03</f>
        <v>454.49999999999994</v>
      </c>
      <c r="E1041" s="265"/>
      <c r="F1041" s="304">
        <f t="shared" si="43"/>
        <v>0</v>
      </c>
      <c r="I1041" s="95"/>
    </row>
    <row r="1042" spans="1:9" ht="13.5" customHeight="1" x14ac:dyDescent="0.2">
      <c r="B1042" s="108"/>
      <c r="C1042" s="47"/>
      <c r="D1042" s="48"/>
      <c r="E1042" s="265"/>
      <c r="F1042" s="304"/>
      <c r="I1042" s="95"/>
    </row>
    <row r="1043" spans="1:9" ht="143.25" customHeight="1" x14ac:dyDescent="0.2">
      <c r="A1043" s="1" t="s">
        <v>220</v>
      </c>
      <c r="B1043" s="104" t="s">
        <v>347</v>
      </c>
      <c r="C1043" s="109"/>
      <c r="D1043" s="110"/>
      <c r="E1043" s="273"/>
      <c r="F1043" s="304"/>
      <c r="I1043" s="95"/>
    </row>
    <row r="1044" spans="1:9" ht="13.5" customHeight="1" x14ac:dyDescent="0.2">
      <c r="B1044" s="105" t="s">
        <v>356</v>
      </c>
      <c r="C1044" s="47" t="s">
        <v>255</v>
      </c>
      <c r="D1044" s="48">
        <f>0.35*1.242*1150</f>
        <v>499.90499999999997</v>
      </c>
      <c r="E1044" s="265"/>
      <c r="F1044" s="304">
        <f t="shared" si="43"/>
        <v>0</v>
      </c>
      <c r="I1044" s="95"/>
    </row>
    <row r="1045" spans="1:9" ht="13.5" customHeight="1" x14ac:dyDescent="0.2">
      <c r="B1045" s="100"/>
      <c r="C1045" s="47"/>
      <c r="D1045" s="97"/>
      <c r="E1045" s="265"/>
      <c r="F1045" s="304"/>
      <c r="I1045" s="95"/>
    </row>
    <row r="1046" spans="1:9" ht="43.5" customHeight="1" x14ac:dyDescent="0.2">
      <c r="A1046" s="1" t="s">
        <v>359</v>
      </c>
      <c r="B1046" s="99" t="s">
        <v>349</v>
      </c>
      <c r="C1046" s="47"/>
      <c r="D1046" s="97"/>
      <c r="E1046" s="265"/>
      <c r="F1046" s="304"/>
      <c r="I1046" s="95"/>
    </row>
    <row r="1047" spans="1:9" ht="13.5" customHeight="1" x14ac:dyDescent="0.2">
      <c r="B1047" s="105" t="s">
        <v>360</v>
      </c>
      <c r="C1047" s="47" t="s">
        <v>255</v>
      </c>
      <c r="D1047" s="48">
        <f>1.242*2*50</f>
        <v>124.2</v>
      </c>
      <c r="E1047" s="265"/>
      <c r="F1047" s="304">
        <f t="shared" si="43"/>
        <v>0</v>
      </c>
      <c r="I1047" s="95"/>
    </row>
    <row r="1048" spans="1:9" ht="13.5" customHeight="1" x14ac:dyDescent="0.2">
      <c r="B1048" s="105"/>
      <c r="C1048" s="47"/>
      <c r="D1048" s="48"/>
      <c r="E1048" s="265"/>
      <c r="F1048" s="304"/>
      <c r="I1048" s="95"/>
    </row>
    <row r="1049" spans="1:9" x14ac:dyDescent="0.2">
      <c r="B1049" s="26" t="s">
        <v>181</v>
      </c>
      <c r="C1049" s="47"/>
      <c r="D1049" s="97"/>
      <c r="E1049" s="265"/>
      <c r="F1049" s="304"/>
      <c r="I1049" s="95"/>
    </row>
    <row r="1050" spans="1:9" ht="38.25" x14ac:dyDescent="0.2">
      <c r="A1050" s="1" t="s">
        <v>228</v>
      </c>
      <c r="B1050" s="99" t="s">
        <v>361</v>
      </c>
      <c r="C1050" s="47"/>
      <c r="D1050" s="97"/>
      <c r="E1050" s="265"/>
      <c r="F1050" s="304"/>
      <c r="I1050" s="95"/>
    </row>
    <row r="1051" spans="1:9" ht="25.5" x14ac:dyDescent="0.2">
      <c r="B1051" s="20" t="s">
        <v>362</v>
      </c>
      <c r="C1051" s="47" t="s">
        <v>255</v>
      </c>
      <c r="D1051" s="18">
        <f>(2*17)*1*1.242</f>
        <v>42.228000000000002</v>
      </c>
      <c r="E1051" s="265"/>
      <c r="F1051" s="304">
        <f t="shared" si="43"/>
        <v>0</v>
      </c>
      <c r="I1051" s="95"/>
    </row>
    <row r="1052" spans="1:9" x14ac:dyDescent="0.2">
      <c r="B1052" s="99"/>
      <c r="C1052" s="47"/>
      <c r="D1052" s="97"/>
      <c r="E1052" s="265"/>
      <c r="F1052" s="304"/>
      <c r="I1052" s="95"/>
    </row>
    <row r="1053" spans="1:9" ht="28.5" customHeight="1" x14ac:dyDescent="0.2">
      <c r="A1053" s="1" t="s">
        <v>363</v>
      </c>
      <c r="B1053" s="99" t="s">
        <v>364</v>
      </c>
      <c r="C1053" s="47"/>
      <c r="D1053" s="97"/>
      <c r="E1053" s="265"/>
      <c r="F1053" s="304"/>
      <c r="I1053" s="95"/>
    </row>
    <row r="1054" spans="1:9" x14ac:dyDescent="0.2">
      <c r="B1054" s="20" t="s">
        <v>365</v>
      </c>
      <c r="C1054" s="47" t="s">
        <v>255</v>
      </c>
      <c r="D1054" s="18">
        <f>4*(17/0.15)*1.5*0.405</f>
        <v>275.40000000000003</v>
      </c>
      <c r="E1054" s="265"/>
      <c r="F1054" s="304">
        <f t="shared" si="43"/>
        <v>0</v>
      </c>
      <c r="I1054" s="95"/>
    </row>
    <row r="1055" spans="1:9" x14ac:dyDescent="0.2">
      <c r="B1055" s="20"/>
      <c r="C1055" s="47"/>
      <c r="D1055" s="18"/>
      <c r="E1055" s="265"/>
      <c r="F1055" s="304"/>
      <c r="I1055" s="95"/>
    </row>
    <row r="1056" spans="1:9" ht="38.25" x14ac:dyDescent="0.2">
      <c r="B1056" s="55" t="s">
        <v>207</v>
      </c>
      <c r="C1056" s="47"/>
      <c r="D1056" s="18"/>
      <c r="E1056" s="265"/>
      <c r="F1056" s="304"/>
      <c r="I1056" s="95"/>
    </row>
    <row r="1057" spans="1:9" ht="120.75" customHeight="1" x14ac:dyDescent="0.2">
      <c r="A1057" s="81" t="s">
        <v>366</v>
      </c>
      <c r="B1057" s="101" t="s">
        <v>367</v>
      </c>
      <c r="C1057" s="91"/>
      <c r="D1057" s="111"/>
      <c r="E1057" s="270"/>
      <c r="F1057" s="304"/>
      <c r="I1057" s="95"/>
    </row>
    <row r="1058" spans="1:9" x14ac:dyDescent="0.2">
      <c r="A1058" s="81" t="s">
        <v>368</v>
      </c>
      <c r="B1058" s="56" t="s">
        <v>369</v>
      </c>
      <c r="C1058" s="88"/>
      <c r="D1058" s="112"/>
      <c r="E1058" s="270"/>
      <c r="F1058" s="304"/>
      <c r="I1058" s="95"/>
    </row>
    <row r="1059" spans="1:9" ht="13.5" customHeight="1" x14ac:dyDescent="0.2">
      <c r="A1059" s="81"/>
      <c r="B1059" s="113" t="s">
        <v>370</v>
      </c>
      <c r="C1059" s="91" t="s">
        <v>255</v>
      </c>
      <c r="D1059" s="48">
        <f>1.242*0.6*16*4</f>
        <v>47.692799999999998</v>
      </c>
      <c r="E1059" s="274"/>
      <c r="F1059" s="304">
        <f t="shared" si="43"/>
        <v>0</v>
      </c>
      <c r="G1059">
        <f>4/0.5</f>
        <v>8</v>
      </c>
      <c r="I1059" s="95"/>
    </row>
    <row r="1060" spans="1:9" x14ac:dyDescent="0.2">
      <c r="A1060" s="81" t="s">
        <v>371</v>
      </c>
      <c r="B1060" s="56" t="s">
        <v>372</v>
      </c>
      <c r="C1060" s="88"/>
      <c r="D1060" s="112"/>
      <c r="E1060" s="270"/>
      <c r="F1060" s="304"/>
      <c r="I1060" s="95"/>
    </row>
    <row r="1061" spans="1:9" ht="25.5" x14ac:dyDescent="0.2">
      <c r="A1061" s="81"/>
      <c r="B1061" s="113" t="s">
        <v>370</v>
      </c>
      <c r="C1061" s="91" t="s">
        <v>255</v>
      </c>
      <c r="D1061" s="48">
        <f>1.242*0.6*16*4</f>
        <v>47.692799999999998</v>
      </c>
      <c r="E1061" s="274"/>
      <c r="F1061" s="304">
        <f t="shared" si="43"/>
        <v>0</v>
      </c>
      <c r="I1061" s="95"/>
    </row>
    <row r="1062" spans="1:9" x14ac:dyDescent="0.2">
      <c r="B1062" s="56"/>
      <c r="D1062" s="43"/>
      <c r="E1062" s="259"/>
      <c r="F1062" s="304"/>
      <c r="I1062" s="95"/>
    </row>
    <row r="1063" spans="1:9" ht="233.25" customHeight="1" x14ac:dyDescent="0.2">
      <c r="A1063" s="1" t="s">
        <v>373</v>
      </c>
      <c r="B1063" s="44" t="s">
        <v>374</v>
      </c>
      <c r="C1063" s="47"/>
      <c r="D1063" s="48"/>
      <c r="E1063" s="265"/>
      <c r="F1063" s="304"/>
      <c r="I1063" s="95"/>
    </row>
    <row r="1064" spans="1:9" x14ac:dyDescent="0.2">
      <c r="A1064" s="1" t="s">
        <v>375</v>
      </c>
      <c r="B1064" s="56" t="s">
        <v>369</v>
      </c>
      <c r="E1064" s="259"/>
      <c r="F1064" s="304"/>
      <c r="I1064" s="95"/>
    </row>
    <row r="1065" spans="1:9" ht="14.25" x14ac:dyDescent="0.2">
      <c r="B1065" s="44" t="s">
        <v>376</v>
      </c>
      <c r="C1065" s="47" t="s">
        <v>87</v>
      </c>
      <c r="D1065" s="48">
        <f>4*4*0.25*0.25</f>
        <v>1</v>
      </c>
      <c r="E1065" s="265"/>
      <c r="F1065" s="304">
        <f t="shared" si="43"/>
        <v>0</v>
      </c>
      <c r="I1065" s="95"/>
    </row>
    <row r="1066" spans="1:9" ht="14.25" x14ac:dyDescent="0.2">
      <c r="B1066" s="44" t="s">
        <v>377</v>
      </c>
      <c r="C1066" s="47" t="s">
        <v>255</v>
      </c>
      <c r="D1066" s="48">
        <f>120*D1065</f>
        <v>120</v>
      </c>
      <c r="E1066" s="265"/>
      <c r="F1066" s="304">
        <f t="shared" si="43"/>
        <v>0</v>
      </c>
      <c r="I1066" s="95"/>
    </row>
    <row r="1067" spans="1:9" x14ac:dyDescent="0.2">
      <c r="A1067" s="1" t="s">
        <v>378</v>
      </c>
      <c r="B1067" s="56" t="s">
        <v>372</v>
      </c>
      <c r="E1067" s="259"/>
      <c r="F1067" s="304"/>
      <c r="I1067" s="95"/>
    </row>
    <row r="1068" spans="1:9" ht="14.25" x14ac:dyDescent="0.2">
      <c r="B1068" s="44" t="s">
        <v>376</v>
      </c>
      <c r="C1068" s="47" t="s">
        <v>87</v>
      </c>
      <c r="D1068" s="48">
        <f>4*4*0.25*0.25</f>
        <v>1</v>
      </c>
      <c r="E1068" s="265"/>
      <c r="F1068" s="304">
        <f t="shared" si="43"/>
        <v>0</v>
      </c>
      <c r="I1068" s="95"/>
    </row>
    <row r="1069" spans="1:9" ht="14.25" x14ac:dyDescent="0.2">
      <c r="B1069" s="44" t="s">
        <v>377</v>
      </c>
      <c r="C1069" s="47" t="s">
        <v>255</v>
      </c>
      <c r="D1069" s="48">
        <f>120*D1068</f>
        <v>120</v>
      </c>
      <c r="E1069" s="265"/>
      <c r="F1069" s="304">
        <f t="shared" si="43"/>
        <v>0</v>
      </c>
      <c r="I1069" s="95"/>
    </row>
    <row r="1070" spans="1:9" x14ac:dyDescent="0.2">
      <c r="B1070" s="44"/>
      <c r="C1070" s="47"/>
      <c r="D1070" s="48"/>
      <c r="E1070" s="265"/>
      <c r="F1070" s="304"/>
      <c r="I1070" s="95"/>
    </row>
    <row r="1071" spans="1:9" ht="165.75" x14ac:dyDescent="0.2">
      <c r="A1071" s="114" t="s">
        <v>379</v>
      </c>
      <c r="B1071" s="104" t="s">
        <v>380</v>
      </c>
      <c r="C1071" s="115"/>
      <c r="D1071" s="116"/>
      <c r="E1071" s="275"/>
      <c r="F1071" s="304"/>
      <c r="G1071" s="62"/>
      <c r="I1071" s="95"/>
    </row>
    <row r="1072" spans="1:9" x14ac:dyDescent="0.2">
      <c r="A1072" s="117"/>
      <c r="B1072" s="104" t="s">
        <v>381</v>
      </c>
      <c r="C1072" s="118" t="s">
        <v>90</v>
      </c>
      <c r="D1072" s="118">
        <v>43</v>
      </c>
      <c r="E1072" s="265"/>
      <c r="F1072" s="304">
        <f>ROUND(D1072*E1072,2)</f>
        <v>0</v>
      </c>
      <c r="G1072" s="62"/>
      <c r="I1072" s="95"/>
    </row>
    <row r="1073" spans="1:9" x14ac:dyDescent="0.2">
      <c r="B1073" s="44"/>
      <c r="C1073" s="47"/>
      <c r="D1073" s="48"/>
      <c r="E1073" s="265"/>
      <c r="F1073" s="305"/>
      <c r="G1073" s="62"/>
      <c r="I1073" s="95"/>
    </row>
    <row r="1074" spans="1:9" x14ac:dyDescent="0.2">
      <c r="B1074" s="44"/>
      <c r="C1074" s="47"/>
      <c r="D1074" s="48"/>
      <c r="E1074" s="265"/>
      <c r="F1074" s="305"/>
      <c r="G1074" s="62"/>
      <c r="I1074" s="95"/>
    </row>
    <row r="1075" spans="1:9" x14ac:dyDescent="0.2">
      <c r="B1075" s="44"/>
      <c r="C1075" s="47"/>
      <c r="D1075" s="48"/>
      <c r="E1075" s="265"/>
      <c r="F1075" s="305"/>
      <c r="G1075" s="62"/>
      <c r="I1075" s="95"/>
    </row>
    <row r="1076" spans="1:9" x14ac:dyDescent="0.2">
      <c r="A1076" s="119"/>
      <c r="B1076" s="120" t="s">
        <v>382</v>
      </c>
      <c r="C1076" s="73"/>
      <c r="D1076" s="65"/>
      <c r="E1076" s="266"/>
      <c r="F1076" s="306">
        <f>ROUND(SUM(F900:F1072),2)</f>
        <v>0</v>
      </c>
    </row>
    <row r="1077" spans="1:9" x14ac:dyDescent="0.2">
      <c r="B1077" s="16"/>
      <c r="E1077" s="259"/>
    </row>
    <row r="1078" spans="1:9" x14ac:dyDescent="0.2">
      <c r="B1078" s="16"/>
      <c r="E1078" s="259"/>
    </row>
    <row r="1079" spans="1:9" x14ac:dyDescent="0.2">
      <c r="B1079" s="16"/>
      <c r="E1079" s="259"/>
    </row>
    <row r="1080" spans="1:9" x14ac:dyDescent="0.2">
      <c r="B1080" s="16"/>
      <c r="E1080" s="259"/>
    </row>
    <row r="1081" spans="1:9" x14ac:dyDescent="0.2">
      <c r="B1081" s="16"/>
      <c r="E1081" s="259"/>
    </row>
    <row r="1082" spans="1:9" x14ac:dyDescent="0.2">
      <c r="B1082" s="16"/>
      <c r="E1082" s="259"/>
    </row>
    <row r="1083" spans="1:9" x14ac:dyDescent="0.2">
      <c r="B1083" s="16"/>
      <c r="E1083" s="259"/>
    </row>
    <row r="1084" spans="1:9" x14ac:dyDescent="0.2">
      <c r="B1084" s="16"/>
      <c r="E1084" s="259"/>
    </row>
    <row r="1085" spans="1:9" x14ac:dyDescent="0.2">
      <c r="B1085" s="16"/>
      <c r="E1085" s="259"/>
    </row>
    <row r="1086" spans="1:9" x14ac:dyDescent="0.2">
      <c r="B1086" s="16"/>
      <c r="E1086" s="259"/>
    </row>
    <row r="1087" spans="1:9" x14ac:dyDescent="0.2">
      <c r="B1087" s="16"/>
      <c r="E1087" s="259"/>
    </row>
    <row r="1088" spans="1:9" x14ac:dyDescent="0.2">
      <c r="B1088" s="16"/>
      <c r="E1088" s="259"/>
    </row>
    <row r="1089" spans="1:13" x14ac:dyDescent="0.2">
      <c r="B1089" s="16"/>
      <c r="E1089" s="259"/>
    </row>
    <row r="1090" spans="1:13" x14ac:dyDescent="0.2">
      <c r="B1090" s="16"/>
      <c r="E1090" s="259"/>
    </row>
    <row r="1091" spans="1:13" x14ac:dyDescent="0.2">
      <c r="B1091" s="16"/>
      <c r="E1091" s="259"/>
    </row>
    <row r="1092" spans="1:13" x14ac:dyDescent="0.2">
      <c r="A1092" s="9" t="s">
        <v>383</v>
      </c>
      <c r="B1092" s="10" t="s">
        <v>384</v>
      </c>
      <c r="C1092" s="11" t="s">
        <v>6</v>
      </c>
      <c r="D1092" s="12" t="s">
        <v>7</v>
      </c>
      <c r="E1092" s="267" t="s">
        <v>8</v>
      </c>
      <c r="F1092" s="302" t="s">
        <v>9</v>
      </c>
    </row>
    <row r="1093" spans="1:13" x14ac:dyDescent="0.2">
      <c r="B1093" s="2"/>
      <c r="E1093" s="259"/>
    </row>
    <row r="1094" spans="1:13" ht="70.5" customHeight="1" x14ac:dyDescent="0.2">
      <c r="B1094" s="26" t="s">
        <v>140</v>
      </c>
      <c r="E1094" s="259"/>
    </row>
    <row r="1095" spans="1:13" ht="226.5" customHeight="1" x14ac:dyDescent="0.35">
      <c r="A1095" s="1" t="s">
        <v>11</v>
      </c>
      <c r="B1095" s="121" t="s">
        <v>385</v>
      </c>
      <c r="C1095" s="74"/>
      <c r="D1095" s="78"/>
      <c r="E1095" s="276"/>
      <c r="F1095" s="309"/>
      <c r="H1095" s="325"/>
      <c r="I1095" s="325"/>
      <c r="J1095" s="325"/>
      <c r="K1095" s="325"/>
      <c r="L1095" s="325"/>
      <c r="M1095" s="325"/>
    </row>
    <row r="1096" spans="1:13" ht="14.25" x14ac:dyDescent="0.2">
      <c r="B1096" s="59" t="s">
        <v>143</v>
      </c>
      <c r="C1096" s="3" t="s">
        <v>48</v>
      </c>
      <c r="D1096" s="43">
        <v>12</v>
      </c>
      <c r="E1096" s="259"/>
      <c r="F1096" s="304">
        <f t="shared" ref="F1096:F1099" si="44">ROUND(D1096*E1096,2)</f>
        <v>0</v>
      </c>
    </row>
    <row r="1097" spans="1:13" ht="25.5" x14ac:dyDescent="0.2">
      <c r="B1097" s="76" t="s">
        <v>386</v>
      </c>
      <c r="C1097" s="74" t="s">
        <v>255</v>
      </c>
      <c r="D1097" s="86">
        <f>5.1*1.5*36</f>
        <v>275.39999999999998</v>
      </c>
      <c r="E1097" s="277"/>
      <c r="F1097" s="304">
        <f t="shared" si="44"/>
        <v>0</v>
      </c>
      <c r="G1097">
        <f>2.34*2*4+4*1.4</f>
        <v>24.32</v>
      </c>
    </row>
    <row r="1098" spans="1:13" x14ac:dyDescent="0.2">
      <c r="B1098" s="76" t="s">
        <v>387</v>
      </c>
      <c r="C1098" s="74" t="s">
        <v>90</v>
      </c>
      <c r="D1098" s="86">
        <f>4*36</f>
        <v>144</v>
      </c>
      <c r="E1098" s="277"/>
      <c r="F1098" s="304">
        <f t="shared" si="44"/>
        <v>0</v>
      </c>
    </row>
    <row r="1099" spans="1:13" x14ac:dyDescent="0.2">
      <c r="B1099" s="122" t="s">
        <v>388</v>
      </c>
      <c r="C1099" s="74" t="s">
        <v>90</v>
      </c>
      <c r="D1099" s="86">
        <v>150</v>
      </c>
      <c r="E1099" s="277"/>
      <c r="F1099" s="304">
        <f t="shared" si="44"/>
        <v>0</v>
      </c>
      <c r="G1099">
        <f>9*((180/30)*2)</f>
        <v>108</v>
      </c>
    </row>
    <row r="1100" spans="1:13" x14ac:dyDescent="0.2">
      <c r="B1100" s="123"/>
      <c r="C1100" s="74"/>
      <c r="D1100" s="78"/>
      <c r="E1100" s="276"/>
      <c r="F1100" s="309"/>
    </row>
    <row r="1101" spans="1:13" x14ac:dyDescent="0.2">
      <c r="B1101" s="123"/>
      <c r="C1101" s="74"/>
      <c r="D1101" s="78"/>
      <c r="E1101" s="276"/>
      <c r="F1101" s="309"/>
    </row>
    <row r="1102" spans="1:13" x14ac:dyDescent="0.2">
      <c r="B1102" s="123"/>
      <c r="C1102" s="74"/>
      <c r="D1102" s="78"/>
      <c r="E1102" s="276"/>
      <c r="F1102" s="309"/>
    </row>
    <row r="1103" spans="1:13" x14ac:dyDescent="0.2">
      <c r="A1103" s="63"/>
      <c r="B1103" s="124" t="s">
        <v>389</v>
      </c>
      <c r="C1103" s="125"/>
      <c r="D1103" s="126"/>
      <c r="E1103" s="266"/>
      <c r="F1103" s="306">
        <f>ROUND(SUM(F1092:F1102),2)</f>
        <v>0</v>
      </c>
    </row>
    <row r="1104" spans="1:13" x14ac:dyDescent="0.2">
      <c r="B1104" s="2"/>
      <c r="E1104" s="259"/>
    </row>
    <row r="1105" spans="2:5" x14ac:dyDescent="0.2">
      <c r="B1105" s="16"/>
      <c r="E1105" s="259"/>
    </row>
    <row r="1106" spans="2:5" x14ac:dyDescent="0.2">
      <c r="B1106" s="16"/>
      <c r="E1106" s="259"/>
    </row>
    <row r="1107" spans="2:5" x14ac:dyDescent="0.2">
      <c r="B1107" s="16"/>
      <c r="E1107" s="259"/>
    </row>
    <row r="1108" spans="2:5" x14ac:dyDescent="0.2">
      <c r="B1108" s="16"/>
      <c r="E1108" s="259"/>
    </row>
    <row r="1109" spans="2:5" x14ac:dyDescent="0.2">
      <c r="B1109" s="16"/>
      <c r="E1109" s="259"/>
    </row>
    <row r="1110" spans="2:5" x14ac:dyDescent="0.2">
      <c r="B1110" s="16"/>
      <c r="E1110" s="259"/>
    </row>
    <row r="1111" spans="2:5" x14ac:dyDescent="0.2">
      <c r="B1111" s="16"/>
      <c r="E1111" s="259"/>
    </row>
    <row r="1112" spans="2:5" x14ac:dyDescent="0.2">
      <c r="B1112" s="16"/>
      <c r="E1112" s="259"/>
    </row>
    <row r="1113" spans="2:5" x14ac:dyDescent="0.2">
      <c r="B1113" s="16"/>
      <c r="E1113" s="259"/>
    </row>
    <row r="1114" spans="2:5" x14ac:dyDescent="0.2">
      <c r="B1114" s="16"/>
      <c r="E1114" s="259"/>
    </row>
    <row r="1115" spans="2:5" x14ac:dyDescent="0.2">
      <c r="B1115" s="16"/>
      <c r="E1115" s="259"/>
    </row>
    <row r="1116" spans="2:5" x14ac:dyDescent="0.2">
      <c r="B1116" s="16"/>
      <c r="E1116" s="259"/>
    </row>
    <row r="1117" spans="2:5" x14ac:dyDescent="0.2">
      <c r="B1117" s="16"/>
      <c r="E1117" s="259"/>
    </row>
    <row r="1118" spans="2:5" x14ac:dyDescent="0.2">
      <c r="B1118" s="16"/>
      <c r="E1118" s="259"/>
    </row>
    <row r="1119" spans="2:5" x14ac:dyDescent="0.2">
      <c r="B1119" s="16"/>
      <c r="E1119" s="259"/>
    </row>
    <row r="1120" spans="2:5" x14ac:dyDescent="0.2">
      <c r="B1120" s="16"/>
      <c r="E1120" s="259"/>
    </row>
    <row r="1121" spans="1:6" x14ac:dyDescent="0.2">
      <c r="B1121" s="16"/>
      <c r="E1121" s="259"/>
    </row>
    <row r="1122" spans="1:6" x14ac:dyDescent="0.2">
      <c r="B1122" s="16"/>
      <c r="E1122" s="259"/>
    </row>
    <row r="1123" spans="1:6" x14ac:dyDescent="0.2">
      <c r="B1123" s="16"/>
      <c r="E1123" s="259"/>
    </row>
    <row r="1124" spans="1:6" x14ac:dyDescent="0.2">
      <c r="B1124" s="16"/>
      <c r="E1124" s="259"/>
    </row>
    <row r="1125" spans="1:6" x14ac:dyDescent="0.2">
      <c r="B1125" s="16"/>
      <c r="E1125" s="259"/>
    </row>
    <row r="1126" spans="1:6" x14ac:dyDescent="0.2">
      <c r="B1126" s="16"/>
      <c r="E1126" s="259"/>
    </row>
    <row r="1127" spans="1:6" x14ac:dyDescent="0.2">
      <c r="B1127" s="16"/>
      <c r="E1127" s="259"/>
    </row>
    <row r="1128" spans="1:6" x14ac:dyDescent="0.2">
      <c r="B1128" s="16"/>
      <c r="E1128" s="259"/>
    </row>
    <row r="1129" spans="1:6" x14ac:dyDescent="0.2">
      <c r="A1129" s="127" t="s">
        <v>390</v>
      </c>
      <c r="B1129" s="128" t="s">
        <v>391</v>
      </c>
      <c r="C1129" s="129" t="s">
        <v>6</v>
      </c>
      <c r="D1129" s="130" t="s">
        <v>7</v>
      </c>
      <c r="E1129" s="278" t="s">
        <v>8</v>
      </c>
      <c r="F1129" s="310" t="s">
        <v>9</v>
      </c>
    </row>
    <row r="1130" spans="1:6" x14ac:dyDescent="0.2">
      <c r="B1130" s="133"/>
      <c r="C1130" s="21"/>
      <c r="D1130" s="134"/>
      <c r="E1130" s="279"/>
      <c r="F1130" s="305"/>
    </row>
    <row r="1131" spans="1:6" x14ac:dyDescent="0.2">
      <c r="B1131" s="26" t="s">
        <v>93</v>
      </c>
      <c r="C1131" s="21"/>
      <c r="D1131" s="134"/>
      <c r="E1131" s="279"/>
      <c r="F1131" s="305"/>
    </row>
    <row r="1132" spans="1:6" ht="114.75" x14ac:dyDescent="0.2">
      <c r="A1132" s="81" t="s">
        <v>11</v>
      </c>
      <c r="B1132" s="135" t="s">
        <v>392</v>
      </c>
      <c r="C1132" s="88"/>
      <c r="D1132" s="88"/>
      <c r="E1132" s="280"/>
      <c r="F1132" s="308"/>
    </row>
    <row r="1133" spans="1:6" ht="14.25" x14ac:dyDescent="0.2">
      <c r="A1133" s="102"/>
      <c r="B1133" s="135" t="s">
        <v>393</v>
      </c>
      <c r="C1133" s="91" t="s">
        <v>48</v>
      </c>
      <c r="D1133" s="136">
        <f>0.3*45</f>
        <v>13.5</v>
      </c>
      <c r="E1133" s="281"/>
      <c r="F1133" s="304">
        <f t="shared" ref="F1133" si="45">ROUND(D1133*E1133,2)</f>
        <v>0</v>
      </c>
    </row>
    <row r="1134" spans="1:6" x14ac:dyDescent="0.2">
      <c r="B1134" s="133"/>
      <c r="C1134" s="21"/>
      <c r="D1134" s="134"/>
      <c r="E1134" s="279"/>
      <c r="F1134" s="305"/>
    </row>
    <row r="1135" spans="1:6" ht="38.25" x14ac:dyDescent="0.2">
      <c r="B1135" s="45" t="s">
        <v>144</v>
      </c>
      <c r="C1135" s="21"/>
      <c r="D1135" s="134"/>
      <c r="E1135" s="279"/>
      <c r="F1135" s="305"/>
    </row>
    <row r="1136" spans="1:6" ht="38.25" x14ac:dyDescent="0.2">
      <c r="A1136" s="1" t="s">
        <v>31</v>
      </c>
      <c r="B1136" s="20" t="s">
        <v>394</v>
      </c>
      <c r="C1136" s="137"/>
      <c r="D1136" s="138"/>
      <c r="E1136" s="282"/>
      <c r="F1136" s="311"/>
    </row>
    <row r="1137" spans="1:6" ht="14.25" x14ac:dyDescent="0.2">
      <c r="A1137" s="1" t="s">
        <v>33</v>
      </c>
      <c r="B1137" s="139" t="s">
        <v>395</v>
      </c>
      <c r="C1137" s="47" t="s">
        <v>48</v>
      </c>
      <c r="D1137" s="140">
        <v>170</v>
      </c>
      <c r="E1137" s="277"/>
      <c r="F1137" s="304">
        <f>ROUND(D1137*E1137,2)</f>
        <v>0</v>
      </c>
    </row>
    <row r="1138" spans="1:6" ht="14.25" x14ac:dyDescent="0.2">
      <c r="A1138" s="1" t="s">
        <v>35</v>
      </c>
      <c r="B1138" s="139" t="s">
        <v>396</v>
      </c>
      <c r="C1138" s="47" t="s">
        <v>48</v>
      </c>
      <c r="D1138" s="140">
        <v>170</v>
      </c>
      <c r="E1138" s="277"/>
      <c r="F1138" s="304">
        <f t="shared" ref="F1138:F1139" si="46">ROUND(D1138*E1138,2)</f>
        <v>0</v>
      </c>
    </row>
    <row r="1139" spans="1:6" ht="14.25" x14ac:dyDescent="0.2">
      <c r="A1139" s="1" t="s">
        <v>37</v>
      </c>
      <c r="B1139" s="139" t="s">
        <v>397</v>
      </c>
      <c r="C1139" s="47" t="s">
        <v>48</v>
      </c>
      <c r="D1139" s="140">
        <v>150</v>
      </c>
      <c r="E1139" s="277"/>
      <c r="F1139" s="304">
        <f t="shared" si="46"/>
        <v>0</v>
      </c>
    </row>
    <row r="1140" spans="1:6" ht="14.25" x14ac:dyDescent="0.2">
      <c r="A1140" s="1" t="s">
        <v>38</v>
      </c>
      <c r="B1140" s="139" t="s">
        <v>398</v>
      </c>
      <c r="C1140" s="47" t="s">
        <v>48</v>
      </c>
      <c r="D1140" s="140">
        <v>150</v>
      </c>
      <c r="E1140" s="277"/>
      <c r="F1140" s="304">
        <f>ROUND(D1140*E1140,2)</f>
        <v>0</v>
      </c>
    </row>
    <row r="1141" spans="1:6" x14ac:dyDescent="0.2">
      <c r="B1141" s="96"/>
      <c r="C1141" s="47"/>
      <c r="D1141" s="140"/>
      <c r="E1141" s="277"/>
      <c r="F1141" s="305"/>
    </row>
    <row r="1142" spans="1:6" ht="38.25" x14ac:dyDescent="0.2">
      <c r="B1142" s="55" t="s">
        <v>207</v>
      </c>
      <c r="E1142" s="259"/>
    </row>
    <row r="1143" spans="1:6" ht="105" customHeight="1" x14ac:dyDescent="0.2">
      <c r="A1143" s="1" t="s">
        <v>44</v>
      </c>
      <c r="B1143" s="20" t="s">
        <v>399</v>
      </c>
      <c r="C1143" s="74"/>
      <c r="D1143" s="140"/>
      <c r="E1143" s="277"/>
      <c r="F1143" s="311"/>
    </row>
    <row r="1144" spans="1:6" ht="14.25" x14ac:dyDescent="0.2">
      <c r="A1144" s="81" t="s">
        <v>46</v>
      </c>
      <c r="B1144" s="56" t="s">
        <v>369</v>
      </c>
      <c r="C1144" s="47" t="s">
        <v>48</v>
      </c>
      <c r="D1144" s="140">
        <f>4*2*4*0.25</f>
        <v>8</v>
      </c>
      <c r="E1144" s="277"/>
      <c r="F1144" s="304">
        <f>ROUND(D1144*E1144,2)</f>
        <v>0</v>
      </c>
    </row>
    <row r="1145" spans="1:6" ht="14.25" x14ac:dyDescent="0.2">
      <c r="A1145" s="81" t="s">
        <v>49</v>
      </c>
      <c r="B1145" s="56" t="s">
        <v>372</v>
      </c>
      <c r="C1145" s="47" t="s">
        <v>48</v>
      </c>
      <c r="D1145" s="140">
        <f>4*2*4*0.25</f>
        <v>8</v>
      </c>
      <c r="E1145" s="277"/>
      <c r="F1145" s="304">
        <f t="shared" ref="F1145:F1146" si="47">ROUND(D1145*E1145,2)</f>
        <v>0</v>
      </c>
    </row>
    <row r="1146" spans="1:6" ht="14.25" x14ac:dyDescent="0.2">
      <c r="A1146" s="81" t="s">
        <v>238</v>
      </c>
      <c r="B1146" s="56" t="s">
        <v>400</v>
      </c>
      <c r="C1146" s="47" t="s">
        <v>48</v>
      </c>
      <c r="D1146" s="140">
        <f>4*2*4*0.25</f>
        <v>8</v>
      </c>
      <c r="E1146" s="277"/>
      <c r="F1146" s="304">
        <f t="shared" si="47"/>
        <v>0</v>
      </c>
    </row>
    <row r="1147" spans="1:6" ht="14.25" x14ac:dyDescent="0.2">
      <c r="A1147" s="81" t="s">
        <v>239</v>
      </c>
      <c r="B1147" s="56" t="s">
        <v>400</v>
      </c>
      <c r="C1147" s="47" t="s">
        <v>48</v>
      </c>
      <c r="D1147" s="140">
        <f>4*2*4*0.25</f>
        <v>8</v>
      </c>
      <c r="E1147" s="277"/>
      <c r="F1147" s="304">
        <f>ROUND(D1147*E1147,2)</f>
        <v>0</v>
      </c>
    </row>
    <row r="1148" spans="1:6" x14ac:dyDescent="0.2">
      <c r="B1148" s="141"/>
      <c r="D1148" s="54"/>
      <c r="E1148" s="261"/>
      <c r="F1148" s="305"/>
    </row>
    <row r="1149" spans="1:6" x14ac:dyDescent="0.2">
      <c r="B1149" s="16"/>
      <c r="E1149" s="259"/>
    </row>
    <row r="1150" spans="1:6" x14ac:dyDescent="0.2">
      <c r="A1150" s="142"/>
      <c r="B1150" s="143" t="s">
        <v>401</v>
      </c>
      <c r="C1150" s="125"/>
      <c r="D1150" s="144"/>
      <c r="E1150" s="283"/>
      <c r="F1150" s="310">
        <f>ROUND(SUM(F1133:F1147),2)</f>
        <v>0</v>
      </c>
    </row>
    <row r="1151" spans="1:6" x14ac:dyDescent="0.2">
      <c r="B1151" s="145"/>
      <c r="C1151" s="74"/>
      <c r="D1151" s="86"/>
      <c r="E1151" s="261"/>
      <c r="F1151" s="305"/>
    </row>
    <row r="1152" spans="1:6" x14ac:dyDescent="0.2">
      <c r="B1152" s="145"/>
      <c r="C1152" s="74"/>
      <c r="D1152" s="86"/>
      <c r="E1152" s="261"/>
      <c r="F1152" s="305"/>
    </row>
    <row r="1153" spans="1:6" x14ac:dyDescent="0.2">
      <c r="B1153" s="145"/>
      <c r="C1153" s="74"/>
      <c r="D1153" s="86"/>
      <c r="E1153" s="261"/>
      <c r="F1153" s="305"/>
    </row>
    <row r="1154" spans="1:6" x14ac:dyDescent="0.2">
      <c r="B1154" s="145"/>
      <c r="C1154" s="74"/>
      <c r="D1154" s="86"/>
      <c r="E1154" s="261"/>
      <c r="F1154" s="305"/>
    </row>
    <row r="1155" spans="1:6" x14ac:dyDescent="0.2">
      <c r="B1155" s="145"/>
      <c r="C1155" s="74"/>
      <c r="D1155" s="86"/>
      <c r="E1155" s="261"/>
      <c r="F1155" s="305"/>
    </row>
    <row r="1156" spans="1:6" x14ac:dyDescent="0.2">
      <c r="B1156" s="145"/>
      <c r="C1156" s="74"/>
      <c r="D1156" s="86"/>
      <c r="E1156" s="261"/>
      <c r="F1156" s="305"/>
    </row>
    <row r="1157" spans="1:6" x14ac:dyDescent="0.2">
      <c r="B1157" s="145"/>
      <c r="C1157" s="74"/>
      <c r="D1157" s="86"/>
      <c r="E1157" s="261"/>
      <c r="F1157" s="305"/>
    </row>
    <row r="1158" spans="1:6" x14ac:dyDescent="0.2">
      <c r="B1158" s="145"/>
      <c r="C1158" s="74"/>
      <c r="D1158" s="86"/>
      <c r="E1158" s="261"/>
      <c r="F1158" s="305"/>
    </row>
    <row r="1159" spans="1:6" x14ac:dyDescent="0.2">
      <c r="B1159" s="145"/>
      <c r="C1159" s="74"/>
      <c r="D1159" s="86"/>
      <c r="E1159" s="261"/>
      <c r="F1159" s="305"/>
    </row>
    <row r="1160" spans="1:6" x14ac:dyDescent="0.2">
      <c r="B1160" s="145"/>
      <c r="C1160" s="74"/>
      <c r="D1160" s="86"/>
      <c r="E1160" s="261"/>
      <c r="F1160" s="305"/>
    </row>
    <row r="1161" spans="1:6" x14ac:dyDescent="0.2">
      <c r="B1161" s="145"/>
      <c r="C1161" s="74"/>
      <c r="D1161" s="86"/>
      <c r="E1161" s="261"/>
      <c r="F1161" s="305"/>
    </row>
    <row r="1162" spans="1:6" x14ac:dyDescent="0.2">
      <c r="B1162" s="145"/>
      <c r="C1162" s="74"/>
      <c r="D1162" s="86"/>
      <c r="E1162" s="261"/>
      <c r="F1162" s="305"/>
    </row>
    <row r="1163" spans="1:6" x14ac:dyDescent="0.2">
      <c r="B1163" s="145"/>
      <c r="C1163" s="74"/>
      <c r="D1163" s="86"/>
      <c r="E1163" s="261"/>
      <c r="F1163" s="305"/>
    </row>
    <row r="1164" spans="1:6" x14ac:dyDescent="0.2">
      <c r="B1164" s="145"/>
      <c r="C1164" s="74"/>
      <c r="D1164" s="86"/>
      <c r="E1164" s="261"/>
      <c r="F1164" s="305"/>
    </row>
    <row r="1165" spans="1:6" x14ac:dyDescent="0.2">
      <c r="B1165" s="145"/>
      <c r="C1165" s="74"/>
      <c r="D1165" s="86"/>
      <c r="E1165" s="261"/>
      <c r="F1165" s="305"/>
    </row>
    <row r="1166" spans="1:6" x14ac:dyDescent="0.2">
      <c r="A1166" s="146" t="s">
        <v>402</v>
      </c>
      <c r="B1166" s="128" t="s">
        <v>403</v>
      </c>
      <c r="C1166" s="129" t="s">
        <v>6</v>
      </c>
      <c r="D1166" s="130" t="s">
        <v>7</v>
      </c>
      <c r="E1166" s="278" t="s">
        <v>8</v>
      </c>
      <c r="F1166" s="310" t="s">
        <v>9</v>
      </c>
    </row>
    <row r="1167" spans="1:6" x14ac:dyDescent="0.2">
      <c r="B1167" s="147"/>
      <c r="C1167" s="21"/>
      <c r="D1167" s="134"/>
      <c r="E1167" s="279"/>
      <c r="F1167" s="305"/>
    </row>
    <row r="1168" spans="1:6" ht="38.25" x14ac:dyDescent="0.2">
      <c r="B1168" s="45" t="s">
        <v>144</v>
      </c>
      <c r="C1168" s="21"/>
      <c r="D1168" s="134"/>
      <c r="E1168" s="279"/>
      <c r="F1168" s="305"/>
    </row>
    <row r="1169" spans="1:6" ht="14.25" customHeight="1" x14ac:dyDescent="0.2">
      <c r="B1169" s="252"/>
      <c r="D1169" s="43"/>
      <c r="E1169" s="261"/>
      <c r="F1169" s="305"/>
    </row>
    <row r="1170" spans="1:6" ht="118.5" customHeight="1" x14ac:dyDescent="0.2">
      <c r="A1170" s="1" t="s">
        <v>31</v>
      </c>
      <c r="B1170" s="46" t="s">
        <v>497</v>
      </c>
      <c r="C1170" s="47"/>
      <c r="D1170" s="43"/>
      <c r="E1170" s="259"/>
    </row>
    <row r="1171" spans="1:6" ht="14.25" x14ac:dyDescent="0.2">
      <c r="A1171" s="1" t="s">
        <v>33</v>
      </c>
      <c r="B1171" s="59" t="s">
        <v>404</v>
      </c>
      <c r="C1171" s="3" t="s">
        <v>48</v>
      </c>
      <c r="D1171" s="43">
        <v>150</v>
      </c>
      <c r="E1171" s="259"/>
      <c r="F1171" s="304">
        <f>ROUND(D1171*E1171,2)</f>
        <v>0</v>
      </c>
    </row>
    <row r="1172" spans="1:6" ht="14.25" x14ac:dyDescent="0.2">
      <c r="A1172" s="1" t="s">
        <v>35</v>
      </c>
      <c r="B1172" s="53" t="s">
        <v>405</v>
      </c>
      <c r="C1172" s="3" t="s">
        <v>87</v>
      </c>
      <c r="D1172" s="43">
        <f>D1171*0.05</f>
        <v>7.5</v>
      </c>
      <c r="E1172" s="259"/>
      <c r="F1172" s="304">
        <f>ROUND(D1172*E1172,2)</f>
        <v>0</v>
      </c>
    </row>
    <row r="1173" spans="1:6" x14ac:dyDescent="0.2">
      <c r="D1173" s="43"/>
      <c r="E1173" s="259"/>
    </row>
    <row r="1174" spans="1:6" x14ac:dyDescent="0.2">
      <c r="B1174" s="29"/>
      <c r="C1174" s="21"/>
      <c r="D1174" s="134"/>
      <c r="E1174" s="279"/>
      <c r="F1174" s="305"/>
    </row>
    <row r="1175" spans="1:6" x14ac:dyDescent="0.2">
      <c r="A1175" s="142"/>
      <c r="B1175" s="148" t="s">
        <v>406</v>
      </c>
      <c r="C1175" s="129"/>
      <c r="D1175" s="130"/>
      <c r="E1175" s="278"/>
      <c r="F1175" s="310">
        <f>ROUND(SUM(F1169:F1172),2)</f>
        <v>0</v>
      </c>
    </row>
    <row r="1176" spans="1:6" x14ac:dyDescent="0.2">
      <c r="B1176" s="16"/>
      <c r="E1176" s="259"/>
    </row>
    <row r="1177" spans="1:6" x14ac:dyDescent="0.2">
      <c r="B1177" s="16"/>
      <c r="E1177" s="259"/>
    </row>
    <row r="1178" spans="1:6" x14ac:dyDescent="0.2">
      <c r="B1178" s="16"/>
      <c r="E1178" s="259"/>
    </row>
    <row r="1179" spans="1:6" x14ac:dyDescent="0.2">
      <c r="B1179" s="16"/>
      <c r="E1179" s="259"/>
    </row>
    <row r="1180" spans="1:6" x14ac:dyDescent="0.2">
      <c r="B1180" s="16"/>
      <c r="E1180" s="259"/>
    </row>
    <row r="1181" spans="1:6" x14ac:dyDescent="0.2">
      <c r="B1181" s="16"/>
      <c r="E1181" s="259"/>
    </row>
    <row r="1182" spans="1:6" x14ac:dyDescent="0.2">
      <c r="B1182" s="16"/>
      <c r="E1182" s="259"/>
    </row>
    <row r="1183" spans="1:6" x14ac:dyDescent="0.2">
      <c r="B1183" s="16"/>
      <c r="E1183" s="259"/>
    </row>
    <row r="1184" spans="1:6" x14ac:dyDescent="0.2">
      <c r="B1184" s="16"/>
      <c r="E1184" s="259"/>
    </row>
    <row r="1185" spans="2:5" x14ac:dyDescent="0.2">
      <c r="B1185" s="16"/>
      <c r="E1185" s="259"/>
    </row>
    <row r="1186" spans="2:5" x14ac:dyDescent="0.2">
      <c r="B1186" s="16"/>
      <c r="E1186" s="259"/>
    </row>
    <row r="1187" spans="2:5" x14ac:dyDescent="0.2">
      <c r="B1187" s="16"/>
      <c r="E1187" s="259"/>
    </row>
    <row r="1188" spans="2:5" x14ac:dyDescent="0.2">
      <c r="B1188" s="16"/>
      <c r="E1188" s="259"/>
    </row>
    <row r="1189" spans="2:5" x14ac:dyDescent="0.2">
      <c r="B1189" s="16"/>
      <c r="E1189" s="259"/>
    </row>
    <row r="1190" spans="2:5" x14ac:dyDescent="0.2">
      <c r="B1190" s="16"/>
      <c r="E1190" s="259"/>
    </row>
    <row r="1191" spans="2:5" x14ac:dyDescent="0.2">
      <c r="B1191" s="16"/>
      <c r="E1191" s="259"/>
    </row>
    <row r="1192" spans="2:5" x14ac:dyDescent="0.2">
      <c r="B1192" s="16"/>
      <c r="E1192" s="259"/>
    </row>
    <row r="1193" spans="2:5" x14ac:dyDescent="0.2">
      <c r="B1193" s="16"/>
      <c r="E1193" s="259"/>
    </row>
    <row r="1194" spans="2:5" x14ac:dyDescent="0.2">
      <c r="B1194" s="16"/>
      <c r="E1194" s="259"/>
    </row>
    <row r="1195" spans="2:5" x14ac:dyDescent="0.2">
      <c r="B1195" s="16"/>
      <c r="E1195" s="259"/>
    </row>
    <row r="1196" spans="2:5" x14ac:dyDescent="0.2">
      <c r="B1196" s="16"/>
      <c r="E1196" s="259"/>
    </row>
    <row r="1197" spans="2:5" x14ac:dyDescent="0.2">
      <c r="B1197" s="16"/>
      <c r="E1197" s="259"/>
    </row>
    <row r="1198" spans="2:5" x14ac:dyDescent="0.2">
      <c r="B1198" s="16"/>
      <c r="E1198" s="259"/>
    </row>
    <row r="1199" spans="2:5" x14ac:dyDescent="0.2">
      <c r="B1199" s="16"/>
      <c r="E1199" s="259"/>
    </row>
    <row r="1200" spans="2:5" x14ac:dyDescent="0.2">
      <c r="B1200" s="16"/>
      <c r="E1200" s="259"/>
    </row>
    <row r="1201" spans="1:6" x14ac:dyDescent="0.2">
      <c r="B1201" s="16"/>
      <c r="E1201" s="259"/>
    </row>
    <row r="1202" spans="1:6" x14ac:dyDescent="0.2">
      <c r="B1202" s="16"/>
      <c r="E1202" s="259"/>
    </row>
    <row r="1203" spans="1:6" x14ac:dyDescent="0.2">
      <c r="B1203" s="16"/>
      <c r="E1203" s="259"/>
    </row>
    <row r="1204" spans="1:6" x14ac:dyDescent="0.2">
      <c r="B1204" s="16"/>
      <c r="E1204" s="259"/>
    </row>
    <row r="1205" spans="1:6" x14ac:dyDescent="0.2">
      <c r="B1205" s="16"/>
      <c r="E1205" s="259"/>
    </row>
    <row r="1206" spans="1:6" x14ac:dyDescent="0.2">
      <c r="B1206" s="16"/>
      <c r="E1206" s="259"/>
    </row>
    <row r="1207" spans="1:6" x14ac:dyDescent="0.2">
      <c r="B1207" s="16"/>
      <c r="E1207" s="259"/>
    </row>
    <row r="1208" spans="1:6" x14ac:dyDescent="0.2">
      <c r="B1208" s="16"/>
      <c r="E1208" s="259"/>
    </row>
    <row r="1209" spans="1:6" x14ac:dyDescent="0.2">
      <c r="B1209" s="16"/>
      <c r="E1209" s="259"/>
    </row>
    <row r="1210" spans="1:6" ht="15" customHeight="1" x14ac:dyDescent="0.2">
      <c r="B1210" s="16"/>
      <c r="E1210" s="259"/>
    </row>
    <row r="1211" spans="1:6" x14ac:dyDescent="0.2">
      <c r="B1211" s="16"/>
      <c r="E1211" s="259"/>
    </row>
    <row r="1212" spans="1:6" x14ac:dyDescent="0.2">
      <c r="B1212" s="16"/>
      <c r="E1212" s="259"/>
    </row>
    <row r="1213" spans="1:6" x14ac:dyDescent="0.2">
      <c r="B1213" s="16"/>
      <c r="E1213" s="259"/>
    </row>
    <row r="1214" spans="1:6" x14ac:dyDescent="0.2">
      <c r="A1214" s="127" t="s">
        <v>407</v>
      </c>
      <c r="B1214" s="10" t="s">
        <v>408</v>
      </c>
      <c r="C1214" s="11" t="s">
        <v>6</v>
      </c>
      <c r="D1214" s="12" t="s">
        <v>7</v>
      </c>
      <c r="E1214" s="267" t="s">
        <v>8</v>
      </c>
      <c r="F1214" s="302" t="s">
        <v>9</v>
      </c>
    </row>
    <row r="1215" spans="1:6" x14ac:dyDescent="0.2">
      <c r="B1215" s="16"/>
      <c r="E1215" s="259"/>
    </row>
    <row r="1216" spans="1:6" ht="67.5" customHeight="1" x14ac:dyDescent="0.2">
      <c r="B1216" s="26" t="s">
        <v>140</v>
      </c>
      <c r="E1216" s="259"/>
    </row>
    <row r="1217" spans="1:6" x14ac:dyDescent="0.2">
      <c r="B1217" s="80"/>
      <c r="E1217" s="259"/>
    </row>
    <row r="1218" spans="1:6" x14ac:dyDescent="0.2">
      <c r="B1218" s="149" t="s">
        <v>409</v>
      </c>
      <c r="E1218" s="259"/>
    </row>
    <row r="1219" spans="1:6" x14ac:dyDescent="0.2">
      <c r="B1219" s="80"/>
      <c r="E1219" s="259"/>
    </row>
    <row r="1220" spans="1:6" ht="51" x14ac:dyDescent="0.2">
      <c r="A1220" s="1" t="s">
        <v>11</v>
      </c>
      <c r="B1220" s="121" t="s">
        <v>410</v>
      </c>
      <c r="C1220" s="74"/>
      <c r="D1220" s="78"/>
      <c r="E1220" s="276"/>
      <c r="F1220" s="309"/>
    </row>
    <row r="1221" spans="1:6" ht="14.25" x14ac:dyDescent="0.2">
      <c r="B1221" s="44" t="s">
        <v>143</v>
      </c>
      <c r="C1221" s="3" t="s">
        <v>48</v>
      </c>
      <c r="D1221" s="43">
        <v>20</v>
      </c>
      <c r="E1221" s="259"/>
      <c r="F1221" s="304">
        <f t="shared" ref="F1221" si="48">ROUND(D1221*E1221,2)</f>
        <v>0</v>
      </c>
    </row>
    <row r="1222" spans="1:6" ht="14.25" x14ac:dyDescent="0.2">
      <c r="B1222" s="44" t="s">
        <v>411</v>
      </c>
      <c r="C1222" s="3" t="s">
        <v>48</v>
      </c>
      <c r="D1222" s="43">
        <v>150</v>
      </c>
      <c r="E1222" s="259"/>
      <c r="F1222" s="304">
        <f>ROUND(D1222*E1222,2)</f>
        <v>0</v>
      </c>
    </row>
    <row r="1223" spans="1:6" x14ac:dyDescent="0.2">
      <c r="B1223" s="44"/>
      <c r="D1223" s="43"/>
      <c r="E1223" s="259"/>
    </row>
    <row r="1224" spans="1:6" ht="12.75" customHeight="1" x14ac:dyDescent="0.2">
      <c r="B1224" s="8"/>
      <c r="E1224" s="259"/>
    </row>
    <row r="1225" spans="1:6" x14ac:dyDescent="0.2">
      <c r="B1225" s="16"/>
      <c r="E1225" s="259"/>
    </row>
    <row r="1226" spans="1:6" x14ac:dyDescent="0.2">
      <c r="A1226" s="142"/>
      <c r="B1226" s="124" t="s">
        <v>412</v>
      </c>
      <c r="C1226" s="125"/>
      <c r="D1226" s="126"/>
      <c r="E1226" s="266"/>
      <c r="F1226" s="306">
        <f>ROUND(SUM(F1221:F1222),2)</f>
        <v>0</v>
      </c>
    </row>
    <row r="1227" spans="1:6" x14ac:dyDescent="0.2">
      <c r="B1227" s="16"/>
      <c r="E1227" s="259"/>
    </row>
    <row r="1228" spans="1:6" x14ac:dyDescent="0.2">
      <c r="B1228" s="16"/>
      <c r="E1228" s="259"/>
    </row>
    <row r="1229" spans="1:6" x14ac:dyDescent="0.2">
      <c r="B1229" s="16"/>
      <c r="E1229" s="259"/>
    </row>
    <row r="1230" spans="1:6" x14ac:dyDescent="0.2">
      <c r="B1230" s="16"/>
      <c r="E1230" s="259"/>
    </row>
    <row r="1231" spans="1:6" x14ac:dyDescent="0.2">
      <c r="B1231" s="16"/>
      <c r="E1231" s="259"/>
    </row>
    <row r="1232" spans="1:6" x14ac:dyDescent="0.2">
      <c r="B1232" s="16"/>
      <c r="E1232" s="259"/>
    </row>
    <row r="1233" spans="2:5" x14ac:dyDescent="0.2">
      <c r="B1233" s="16"/>
      <c r="E1233" s="259"/>
    </row>
    <row r="1234" spans="2:5" x14ac:dyDescent="0.2">
      <c r="B1234" s="16"/>
      <c r="E1234" s="259"/>
    </row>
    <row r="1235" spans="2:5" x14ac:dyDescent="0.2">
      <c r="B1235" s="16"/>
      <c r="E1235" s="259"/>
    </row>
    <row r="1236" spans="2:5" x14ac:dyDescent="0.2">
      <c r="B1236" s="16"/>
      <c r="E1236" s="259"/>
    </row>
    <row r="1237" spans="2:5" x14ac:dyDescent="0.2">
      <c r="B1237" s="16"/>
      <c r="E1237" s="259"/>
    </row>
    <row r="1238" spans="2:5" x14ac:dyDescent="0.2">
      <c r="B1238" s="16"/>
      <c r="E1238" s="259"/>
    </row>
    <row r="1239" spans="2:5" x14ac:dyDescent="0.2">
      <c r="B1239" s="16"/>
      <c r="E1239" s="259"/>
    </row>
    <row r="1240" spans="2:5" x14ac:dyDescent="0.2">
      <c r="B1240" s="16"/>
      <c r="E1240" s="259"/>
    </row>
    <row r="1241" spans="2:5" x14ac:dyDescent="0.2">
      <c r="B1241" s="16"/>
      <c r="E1241" s="259"/>
    </row>
    <row r="1242" spans="2:5" x14ac:dyDescent="0.2">
      <c r="B1242" s="16"/>
      <c r="E1242" s="259"/>
    </row>
    <row r="1243" spans="2:5" x14ac:dyDescent="0.2">
      <c r="B1243" s="16"/>
      <c r="E1243" s="259"/>
    </row>
    <row r="1244" spans="2:5" x14ac:dyDescent="0.2">
      <c r="B1244" s="16"/>
      <c r="E1244" s="259"/>
    </row>
    <row r="1245" spans="2:5" x14ac:dyDescent="0.2">
      <c r="B1245" s="16"/>
      <c r="E1245" s="259"/>
    </row>
    <row r="1246" spans="2:5" x14ac:dyDescent="0.2">
      <c r="B1246" s="16"/>
      <c r="E1246" s="259"/>
    </row>
    <row r="1247" spans="2:5" x14ac:dyDescent="0.2">
      <c r="B1247" s="16"/>
      <c r="E1247" s="259"/>
    </row>
    <row r="1248" spans="2:5" x14ac:dyDescent="0.2">
      <c r="B1248" s="16"/>
      <c r="E1248" s="259"/>
    </row>
    <row r="1249" spans="2:5" x14ac:dyDescent="0.2">
      <c r="B1249" s="16"/>
      <c r="E1249" s="259"/>
    </row>
    <row r="1250" spans="2:5" x14ac:dyDescent="0.2">
      <c r="B1250" s="16"/>
      <c r="E1250" s="259"/>
    </row>
    <row r="1251" spans="2:5" x14ac:dyDescent="0.2">
      <c r="B1251" s="16"/>
      <c r="E1251" s="259"/>
    </row>
    <row r="1252" spans="2:5" x14ac:dyDescent="0.2">
      <c r="B1252" s="16"/>
      <c r="E1252" s="259"/>
    </row>
    <row r="1253" spans="2:5" x14ac:dyDescent="0.2">
      <c r="B1253" s="16"/>
      <c r="E1253" s="259"/>
    </row>
    <row r="1254" spans="2:5" x14ac:dyDescent="0.2">
      <c r="B1254" s="16"/>
      <c r="E1254" s="259"/>
    </row>
    <row r="1255" spans="2:5" x14ac:dyDescent="0.2">
      <c r="B1255" s="16"/>
      <c r="E1255" s="259"/>
    </row>
    <row r="1256" spans="2:5" x14ac:dyDescent="0.2">
      <c r="B1256" s="16"/>
      <c r="E1256" s="259"/>
    </row>
    <row r="1257" spans="2:5" x14ac:dyDescent="0.2">
      <c r="B1257" s="16"/>
      <c r="E1257" s="259"/>
    </row>
    <row r="1258" spans="2:5" x14ac:dyDescent="0.2">
      <c r="B1258" s="16"/>
      <c r="E1258" s="259"/>
    </row>
    <row r="1259" spans="2:5" x14ac:dyDescent="0.2">
      <c r="B1259" s="16"/>
      <c r="E1259" s="259"/>
    </row>
    <row r="1260" spans="2:5" x14ac:dyDescent="0.2">
      <c r="B1260" s="16"/>
      <c r="E1260" s="259"/>
    </row>
    <row r="1261" spans="2:5" x14ac:dyDescent="0.2">
      <c r="B1261" s="16"/>
      <c r="E1261" s="259"/>
    </row>
    <row r="1262" spans="2:5" x14ac:dyDescent="0.2">
      <c r="B1262" s="16"/>
      <c r="E1262" s="259"/>
    </row>
    <row r="1263" spans="2:5" x14ac:dyDescent="0.2">
      <c r="B1263" s="16"/>
      <c r="E1263" s="259"/>
    </row>
    <row r="1264" spans="2:5" x14ac:dyDescent="0.2">
      <c r="B1264" s="16"/>
      <c r="E1264" s="259"/>
    </row>
    <row r="1265" spans="1:6" x14ac:dyDescent="0.2">
      <c r="A1265" s="127" t="s">
        <v>413</v>
      </c>
      <c r="B1265" s="10" t="s">
        <v>414</v>
      </c>
      <c r="C1265" s="11" t="s">
        <v>6</v>
      </c>
      <c r="D1265" s="12" t="s">
        <v>7</v>
      </c>
      <c r="E1265" s="267" t="s">
        <v>8</v>
      </c>
      <c r="F1265" s="302" t="s">
        <v>9</v>
      </c>
    </row>
    <row r="1266" spans="1:6" x14ac:dyDescent="0.2">
      <c r="B1266" s="16"/>
      <c r="E1266" s="259"/>
    </row>
    <row r="1267" spans="1:6" ht="38.25" x14ac:dyDescent="0.2">
      <c r="B1267" s="45" t="s">
        <v>144</v>
      </c>
      <c r="E1267" s="259"/>
    </row>
    <row r="1268" spans="1:6" ht="52.5" customHeight="1" x14ac:dyDescent="0.2">
      <c r="A1268" s="1" t="s">
        <v>11</v>
      </c>
      <c r="B1268" s="121" t="s">
        <v>415</v>
      </c>
      <c r="C1268" s="74"/>
      <c r="D1268" s="78"/>
      <c r="E1268" s="276"/>
      <c r="F1268" s="309"/>
    </row>
    <row r="1269" spans="1:6" ht="14.25" x14ac:dyDescent="0.2">
      <c r="A1269" s="1" t="s">
        <v>12</v>
      </c>
      <c r="B1269" s="121" t="s">
        <v>416</v>
      </c>
      <c r="C1269" s="3" t="s">
        <v>48</v>
      </c>
      <c r="D1269" s="43">
        <v>170</v>
      </c>
      <c r="E1269" s="259"/>
      <c r="F1269" s="304">
        <f t="shared" ref="F1269:F1271" si="49">ROUND(D1269*E1269,2)</f>
        <v>0</v>
      </c>
    </row>
    <row r="1270" spans="1:6" ht="14.25" x14ac:dyDescent="0.2">
      <c r="A1270" s="1" t="s">
        <v>15</v>
      </c>
      <c r="B1270" s="44" t="s">
        <v>417</v>
      </c>
      <c r="C1270" s="3" t="s">
        <v>48</v>
      </c>
      <c r="D1270" s="43">
        <v>170</v>
      </c>
      <c r="E1270" s="259"/>
      <c r="F1270" s="304">
        <f t="shared" si="49"/>
        <v>0</v>
      </c>
    </row>
    <row r="1271" spans="1:6" ht="14.25" x14ac:dyDescent="0.2">
      <c r="A1271" s="1" t="s">
        <v>17</v>
      </c>
      <c r="B1271" s="44" t="s">
        <v>418</v>
      </c>
      <c r="C1271" s="3" t="s">
        <v>48</v>
      </c>
      <c r="D1271" s="43">
        <v>170</v>
      </c>
      <c r="E1271" s="259"/>
      <c r="F1271" s="304">
        <f t="shared" si="49"/>
        <v>0</v>
      </c>
    </row>
    <row r="1272" spans="1:6" ht="14.25" x14ac:dyDescent="0.2">
      <c r="A1272" s="1" t="s">
        <v>19</v>
      </c>
      <c r="B1272" s="44" t="s">
        <v>419</v>
      </c>
      <c r="C1272" s="3" t="s">
        <v>48</v>
      </c>
      <c r="D1272" s="43">
        <v>170</v>
      </c>
      <c r="E1272" s="259"/>
      <c r="F1272" s="304">
        <f>ROUND(D1272*E1272,2)</f>
        <v>0</v>
      </c>
    </row>
    <row r="1273" spans="1:6" x14ac:dyDescent="0.2">
      <c r="B1273" s="44"/>
      <c r="D1273" s="43"/>
      <c r="E1273" s="259"/>
    </row>
    <row r="1274" spans="1:6" ht="51" x14ac:dyDescent="0.2">
      <c r="A1274" s="1" t="s">
        <v>31</v>
      </c>
      <c r="B1274" s="121" t="s">
        <v>420</v>
      </c>
      <c r="C1274" s="74"/>
      <c r="D1274" s="78"/>
      <c r="E1274" s="276"/>
    </row>
    <row r="1275" spans="1:6" ht="14.25" x14ac:dyDescent="0.2">
      <c r="A1275" s="1" t="s">
        <v>33</v>
      </c>
      <c r="B1275" s="121" t="s">
        <v>416</v>
      </c>
      <c r="C1275" s="3" t="s">
        <v>48</v>
      </c>
      <c r="D1275" s="43">
        <v>170</v>
      </c>
      <c r="E1275" s="259"/>
      <c r="F1275" s="304">
        <f t="shared" ref="F1275:F1278" si="50">ROUND(D1275*E1275,2)</f>
        <v>0</v>
      </c>
    </row>
    <row r="1276" spans="1:6" ht="14.25" x14ac:dyDescent="0.2">
      <c r="A1276" s="1" t="s">
        <v>35</v>
      </c>
      <c r="B1276" s="44" t="s">
        <v>417</v>
      </c>
      <c r="C1276" s="3" t="s">
        <v>48</v>
      </c>
      <c r="D1276" s="43">
        <v>170</v>
      </c>
      <c r="E1276" s="259"/>
      <c r="F1276" s="304">
        <f t="shared" si="50"/>
        <v>0</v>
      </c>
    </row>
    <row r="1277" spans="1:6" ht="14.25" x14ac:dyDescent="0.2">
      <c r="A1277" s="1" t="s">
        <v>37</v>
      </c>
      <c r="B1277" s="44" t="s">
        <v>418</v>
      </c>
      <c r="C1277" s="3" t="s">
        <v>48</v>
      </c>
      <c r="D1277" s="43">
        <v>170</v>
      </c>
      <c r="E1277" s="259"/>
      <c r="F1277" s="304">
        <f t="shared" si="50"/>
        <v>0</v>
      </c>
    </row>
    <row r="1278" spans="1:6" ht="14.25" x14ac:dyDescent="0.2">
      <c r="A1278" s="1" t="s">
        <v>38</v>
      </c>
      <c r="B1278" s="44" t="s">
        <v>419</v>
      </c>
      <c r="C1278" s="3" t="s">
        <v>48</v>
      </c>
      <c r="D1278" s="43">
        <v>170</v>
      </c>
      <c r="E1278" s="259"/>
      <c r="F1278" s="304">
        <f t="shared" si="50"/>
        <v>0</v>
      </c>
    </row>
    <row r="1279" spans="1:6" x14ac:dyDescent="0.2">
      <c r="B1279" s="44"/>
      <c r="D1279" s="43"/>
      <c r="E1279" s="259"/>
    </row>
    <row r="1280" spans="1:6" ht="51" x14ac:dyDescent="0.2">
      <c r="A1280" s="1" t="s">
        <v>44</v>
      </c>
      <c r="B1280" s="121" t="s">
        <v>421</v>
      </c>
      <c r="C1280" s="74"/>
      <c r="D1280" s="78"/>
      <c r="E1280" s="276"/>
    </row>
    <row r="1281" spans="1:6" ht="14.25" x14ac:dyDescent="0.2">
      <c r="A1281" s="1" t="s">
        <v>46</v>
      </c>
      <c r="B1281" s="121" t="s">
        <v>416</v>
      </c>
      <c r="C1281" s="3" t="s">
        <v>48</v>
      </c>
      <c r="D1281" s="43">
        <v>150</v>
      </c>
      <c r="E1281" s="259"/>
      <c r="F1281" s="304">
        <f t="shared" ref="F1281:F1283" si="51">ROUND(D1281*E1281,2)</f>
        <v>0</v>
      </c>
    </row>
    <row r="1282" spans="1:6" ht="14.25" x14ac:dyDescent="0.2">
      <c r="A1282" s="1" t="s">
        <v>49</v>
      </c>
      <c r="B1282" s="44" t="s">
        <v>417</v>
      </c>
      <c r="C1282" s="3" t="s">
        <v>48</v>
      </c>
      <c r="D1282" s="43">
        <v>150</v>
      </c>
      <c r="E1282" s="259"/>
      <c r="F1282" s="304">
        <f t="shared" si="51"/>
        <v>0</v>
      </c>
    </row>
    <row r="1283" spans="1:6" ht="14.25" x14ac:dyDescent="0.2">
      <c r="A1283" s="1" t="s">
        <v>238</v>
      </c>
      <c r="B1283" s="44" t="s">
        <v>418</v>
      </c>
      <c r="C1283" s="3" t="s">
        <v>48</v>
      </c>
      <c r="D1283" s="43">
        <v>150</v>
      </c>
      <c r="E1283" s="259"/>
      <c r="F1283" s="304">
        <f t="shared" si="51"/>
        <v>0</v>
      </c>
    </row>
    <row r="1284" spans="1:6" ht="14.25" customHeight="1" x14ac:dyDescent="0.2">
      <c r="A1284" s="1" t="s">
        <v>239</v>
      </c>
      <c r="B1284" s="44" t="s">
        <v>419</v>
      </c>
      <c r="C1284" s="3" t="s">
        <v>48</v>
      </c>
      <c r="D1284" s="43">
        <v>150</v>
      </c>
      <c r="E1284" s="259"/>
      <c r="F1284" s="304">
        <f>ROUND(D1284*E1284,2)</f>
        <v>0</v>
      </c>
    </row>
    <row r="1285" spans="1:6" x14ac:dyDescent="0.2">
      <c r="B1285" s="121"/>
      <c r="D1285" s="43"/>
      <c r="E1285" s="259"/>
    </row>
    <row r="1286" spans="1:6" x14ac:dyDescent="0.2">
      <c r="B1286" s="16"/>
      <c r="E1286" s="259"/>
    </row>
    <row r="1287" spans="1:6" x14ac:dyDescent="0.2">
      <c r="A1287" s="63"/>
      <c r="B1287" s="124" t="s">
        <v>422</v>
      </c>
      <c r="C1287" s="125"/>
      <c r="D1287" s="126"/>
      <c r="E1287" s="266"/>
      <c r="F1287" s="306">
        <f>ROUND(SUM(F1269:F1284),2)</f>
        <v>0</v>
      </c>
    </row>
    <row r="1288" spans="1:6" x14ac:dyDescent="0.2">
      <c r="B1288" s="16"/>
      <c r="E1288" s="259"/>
    </row>
    <row r="1289" spans="1:6" x14ac:dyDescent="0.2">
      <c r="B1289" s="16"/>
      <c r="E1289" s="259"/>
    </row>
    <row r="1290" spans="1:6" x14ac:dyDescent="0.2">
      <c r="B1290" s="16"/>
      <c r="E1290" s="259"/>
    </row>
    <row r="1291" spans="1:6" x14ac:dyDescent="0.2">
      <c r="B1291" s="16"/>
      <c r="E1291" s="259"/>
    </row>
    <row r="1292" spans="1:6" x14ac:dyDescent="0.2">
      <c r="B1292" s="16"/>
      <c r="E1292" s="259"/>
    </row>
    <row r="1293" spans="1:6" x14ac:dyDescent="0.2">
      <c r="B1293" s="16"/>
      <c r="E1293" s="259"/>
    </row>
    <row r="1294" spans="1:6" x14ac:dyDescent="0.2">
      <c r="B1294" s="16"/>
      <c r="E1294" s="259"/>
    </row>
    <row r="1295" spans="1:6" x14ac:dyDescent="0.2">
      <c r="B1295" s="16"/>
      <c r="E1295" s="259"/>
    </row>
    <row r="1296" spans="1:6" x14ac:dyDescent="0.2">
      <c r="B1296" s="16"/>
      <c r="E1296" s="259"/>
    </row>
    <row r="1297" spans="2:5" x14ac:dyDescent="0.2">
      <c r="B1297" s="16"/>
      <c r="E1297" s="259"/>
    </row>
    <row r="1298" spans="2:5" x14ac:dyDescent="0.2">
      <c r="B1298" s="16"/>
      <c r="E1298" s="259"/>
    </row>
    <row r="1299" spans="2:5" x14ac:dyDescent="0.2">
      <c r="B1299" s="16"/>
      <c r="E1299" s="259"/>
    </row>
    <row r="1300" spans="2:5" x14ac:dyDescent="0.2">
      <c r="B1300" s="16"/>
      <c r="E1300" s="259"/>
    </row>
    <row r="1301" spans="2:5" x14ac:dyDescent="0.2">
      <c r="B1301" s="16"/>
      <c r="E1301" s="259"/>
    </row>
    <row r="1302" spans="2:5" x14ac:dyDescent="0.2">
      <c r="B1302" s="16"/>
      <c r="E1302" s="259"/>
    </row>
    <row r="1303" spans="2:5" x14ac:dyDescent="0.2">
      <c r="B1303" s="16"/>
      <c r="E1303" s="259"/>
    </row>
    <row r="1304" spans="2:5" x14ac:dyDescent="0.2">
      <c r="B1304" s="16"/>
      <c r="E1304" s="259"/>
    </row>
    <row r="1305" spans="2:5" x14ac:dyDescent="0.2">
      <c r="B1305" s="16"/>
      <c r="E1305" s="259"/>
    </row>
    <row r="1306" spans="2:5" x14ac:dyDescent="0.2">
      <c r="B1306" s="16"/>
      <c r="E1306" s="259"/>
    </row>
    <row r="1307" spans="2:5" x14ac:dyDescent="0.2">
      <c r="B1307" s="16"/>
    </row>
    <row r="1308" spans="2:5" x14ac:dyDescent="0.2">
      <c r="B1308" s="16"/>
    </row>
    <row r="1309" spans="2:5" x14ac:dyDescent="0.2">
      <c r="B1309" s="16"/>
    </row>
    <row r="1310" spans="2:5" x14ac:dyDescent="0.2">
      <c r="B1310" s="16"/>
    </row>
    <row r="1311" spans="2:5" x14ac:dyDescent="0.2">
      <c r="B1311" s="16"/>
    </row>
    <row r="1312" spans="2:5" x14ac:dyDescent="0.2">
      <c r="B1312" s="16"/>
    </row>
    <row r="1313" spans="1:6" ht="15" x14ac:dyDescent="0.25">
      <c r="A1313" s="142"/>
      <c r="B1313" s="64" t="s">
        <v>423</v>
      </c>
      <c r="C1313" s="326"/>
      <c r="D1313" s="326"/>
      <c r="E1313" s="326"/>
      <c r="F1313" s="327"/>
    </row>
    <row r="1314" spans="1:6" x14ac:dyDescent="0.2">
      <c r="A1314" s="13"/>
      <c r="B1314" s="67"/>
    </row>
    <row r="1315" spans="1:6" x14ac:dyDescent="0.2">
      <c r="A1315" s="13" t="s">
        <v>4</v>
      </c>
      <c r="B1315" s="150" t="s">
        <v>424</v>
      </c>
      <c r="C1315" s="151"/>
      <c r="D1315" s="152"/>
      <c r="E1315" s="153"/>
      <c r="F1315" s="312">
        <f>F454</f>
        <v>0</v>
      </c>
    </row>
    <row r="1316" spans="1:6" x14ac:dyDescent="0.2">
      <c r="A1316" s="13"/>
      <c r="B1316" s="67"/>
      <c r="E1316" s="18"/>
      <c r="F1316" s="305"/>
    </row>
    <row r="1317" spans="1:6" x14ac:dyDescent="0.2">
      <c r="A1317" s="13" t="s">
        <v>231</v>
      </c>
      <c r="B1317" s="150" t="s">
        <v>232</v>
      </c>
      <c r="C1317" s="151"/>
      <c r="D1317" s="155"/>
      <c r="E1317" s="153"/>
      <c r="F1317" s="312">
        <f>F509</f>
        <v>0</v>
      </c>
    </row>
    <row r="1318" spans="1:6" x14ac:dyDescent="0.2">
      <c r="A1318" s="13"/>
      <c r="B1318" s="67"/>
      <c r="E1318" s="18"/>
      <c r="F1318" s="305"/>
    </row>
    <row r="1319" spans="1:6" x14ac:dyDescent="0.2">
      <c r="A1319" s="13" t="s">
        <v>251</v>
      </c>
      <c r="B1319" s="150" t="s">
        <v>252</v>
      </c>
      <c r="C1319" s="151"/>
      <c r="D1319" s="155"/>
      <c r="E1319" s="153"/>
      <c r="F1319" s="312">
        <f>F856</f>
        <v>0</v>
      </c>
    </row>
    <row r="1320" spans="1:6" x14ac:dyDescent="0.2">
      <c r="A1320" s="13"/>
      <c r="B1320" s="67"/>
      <c r="D1320" s="156"/>
      <c r="E1320" s="18"/>
      <c r="F1320" s="305"/>
    </row>
    <row r="1321" spans="1:6" x14ac:dyDescent="0.2">
      <c r="A1321" s="13" t="s">
        <v>321</v>
      </c>
      <c r="B1321" s="150" t="s">
        <v>322</v>
      </c>
      <c r="C1321" s="151"/>
      <c r="D1321" s="155"/>
      <c r="E1321" s="153"/>
      <c r="F1321" s="312">
        <f>F1076</f>
        <v>0</v>
      </c>
    </row>
    <row r="1322" spans="1:6" x14ac:dyDescent="0.2">
      <c r="A1322" s="13"/>
      <c r="B1322" s="67"/>
      <c r="E1322" s="18"/>
      <c r="F1322" s="305"/>
    </row>
    <row r="1323" spans="1:6" x14ac:dyDescent="0.2">
      <c r="A1323" s="13" t="s">
        <v>383</v>
      </c>
      <c r="B1323" s="150" t="s">
        <v>384</v>
      </c>
      <c r="C1323" s="151"/>
      <c r="D1323" s="155"/>
      <c r="E1323" s="153"/>
      <c r="F1323" s="312">
        <f>F1103</f>
        <v>0</v>
      </c>
    </row>
    <row r="1324" spans="1:6" x14ac:dyDescent="0.2">
      <c r="A1324" s="13"/>
      <c r="B1324" s="66"/>
      <c r="C1324" s="157"/>
      <c r="D1324" s="158"/>
      <c r="E1324" s="159"/>
      <c r="F1324" s="313"/>
    </row>
    <row r="1325" spans="1:6" x14ac:dyDescent="0.2">
      <c r="A1325" s="13" t="s">
        <v>390</v>
      </c>
      <c r="B1325" s="150" t="s">
        <v>391</v>
      </c>
      <c r="C1325" s="151"/>
      <c r="D1325" s="155"/>
      <c r="E1325" s="153"/>
      <c r="F1325" s="312">
        <f>F1150</f>
        <v>0</v>
      </c>
    </row>
    <row r="1326" spans="1:6" x14ac:dyDescent="0.2">
      <c r="A1326" s="13"/>
      <c r="B1326" s="67"/>
      <c r="D1326" s="156"/>
      <c r="E1326" s="18"/>
      <c r="F1326" s="305"/>
    </row>
    <row r="1327" spans="1:6" x14ac:dyDescent="0.2">
      <c r="A1327" s="13" t="s">
        <v>402</v>
      </c>
      <c r="B1327" s="150" t="s">
        <v>403</v>
      </c>
      <c r="C1327" s="151"/>
      <c r="D1327" s="155"/>
      <c r="E1327" s="153"/>
      <c r="F1327" s="312">
        <f>F1175</f>
        <v>0</v>
      </c>
    </row>
    <row r="1328" spans="1:6" x14ac:dyDescent="0.2">
      <c r="A1328" s="13"/>
      <c r="B1328" s="67"/>
      <c r="D1328" s="156"/>
      <c r="E1328" s="18"/>
      <c r="F1328" s="305"/>
    </row>
    <row r="1329" spans="1:11" x14ac:dyDescent="0.2">
      <c r="A1329" s="13" t="s">
        <v>407</v>
      </c>
      <c r="B1329" s="150" t="s">
        <v>408</v>
      </c>
      <c r="C1329" s="151"/>
      <c r="D1329" s="155"/>
      <c r="E1329" s="153"/>
      <c r="F1329" s="312">
        <f>F1226</f>
        <v>0</v>
      </c>
    </row>
    <row r="1330" spans="1:11" x14ac:dyDescent="0.2">
      <c r="A1330" s="13"/>
      <c r="B1330" s="67"/>
      <c r="D1330" s="156"/>
      <c r="E1330" s="18"/>
      <c r="F1330" s="305"/>
    </row>
    <row r="1331" spans="1:11" x14ac:dyDescent="0.2">
      <c r="A1331" s="13" t="s">
        <v>413</v>
      </c>
      <c r="B1331" s="150" t="s">
        <v>414</v>
      </c>
      <c r="C1331" s="151"/>
      <c r="D1331" s="155"/>
      <c r="E1331" s="153"/>
      <c r="F1331" s="312">
        <f>F1287</f>
        <v>0</v>
      </c>
    </row>
    <row r="1332" spans="1:11" ht="13.5" thickBot="1" x14ac:dyDescent="0.25">
      <c r="B1332" s="161"/>
      <c r="C1332" s="162"/>
      <c r="D1332" s="163"/>
      <c r="E1332" s="164"/>
      <c r="F1332" s="314"/>
    </row>
    <row r="1333" spans="1:11" ht="12.75" customHeight="1" x14ac:dyDescent="0.2">
      <c r="B1333" s="16"/>
      <c r="E1333" s="18"/>
      <c r="F1333" s="305"/>
      <c r="I1333" s="328"/>
      <c r="J1333" s="328"/>
      <c r="K1333" s="328"/>
    </row>
    <row r="1334" spans="1:11" ht="12.75" customHeight="1" x14ac:dyDescent="0.2">
      <c r="B1334" s="150" t="s">
        <v>425</v>
      </c>
      <c r="C1334" s="151"/>
      <c r="D1334" s="152"/>
      <c r="E1334" s="153"/>
      <c r="F1334" s="315">
        <f>ROUND(SUM(F1315:F1331),2)</f>
        <v>0</v>
      </c>
      <c r="I1334" s="328"/>
      <c r="J1334" s="328"/>
      <c r="K1334" s="328"/>
    </row>
    <row r="1335" spans="1:11" ht="12.75" customHeight="1" x14ac:dyDescent="0.2">
      <c r="B1335" s="2"/>
      <c r="E1335" s="165"/>
      <c r="F1335" s="312"/>
      <c r="I1335" s="328"/>
      <c r="J1335" s="328"/>
      <c r="K1335" s="328"/>
    </row>
    <row r="1336" spans="1:11" ht="12.75" customHeight="1" x14ac:dyDescent="0.2">
      <c r="B1336" s="150" t="s">
        <v>426</v>
      </c>
      <c r="C1336" s="166"/>
      <c r="D1336" s="167"/>
      <c r="E1336" s="168"/>
      <c r="F1336" s="315">
        <f>ROUND(0.25*F1334,2)</f>
        <v>0</v>
      </c>
      <c r="I1336" s="328"/>
      <c r="J1336" s="328"/>
      <c r="K1336" s="328"/>
    </row>
    <row r="1337" spans="1:11" ht="12.75" customHeight="1" x14ac:dyDescent="0.2">
      <c r="B1337" s="2"/>
      <c r="E1337" s="165"/>
      <c r="F1337" s="312"/>
      <c r="I1337" s="328"/>
      <c r="J1337" s="328"/>
      <c r="K1337" s="328"/>
    </row>
    <row r="1338" spans="1:11" ht="12.75" customHeight="1" x14ac:dyDescent="0.2">
      <c r="B1338" s="150" t="s">
        <v>427</v>
      </c>
      <c r="C1338" s="166"/>
      <c r="D1338" s="167"/>
      <c r="E1338" s="168"/>
      <c r="F1338" s="316">
        <f>ROUND(F1334+F1336,2)</f>
        <v>0</v>
      </c>
      <c r="I1338" s="328"/>
      <c r="J1338" s="328"/>
      <c r="K1338" s="328"/>
    </row>
    <row r="1339" spans="1:11" x14ac:dyDescent="0.2">
      <c r="B1339" s="16"/>
      <c r="E1339" s="165"/>
      <c r="F1339" s="313"/>
    </row>
    <row r="1340" spans="1:11" x14ac:dyDescent="0.2">
      <c r="B1340" s="16"/>
      <c r="E1340" s="18"/>
      <c r="F1340" s="305"/>
    </row>
    <row r="1341" spans="1:11" x14ac:dyDescent="0.2">
      <c r="B1341" s="16"/>
      <c r="E1341" s="18"/>
      <c r="F1341" s="305"/>
    </row>
    <row r="1342" spans="1:11" x14ac:dyDescent="0.2">
      <c r="B1342" s="16"/>
      <c r="E1342" s="18"/>
      <c r="F1342" s="305"/>
    </row>
    <row r="1343" spans="1:11" x14ac:dyDescent="0.2">
      <c r="B1343" s="16"/>
      <c r="E1343" s="18"/>
      <c r="F1343" s="305"/>
    </row>
    <row r="1344" spans="1:11" x14ac:dyDescent="0.2">
      <c r="B1344" s="16"/>
      <c r="E1344" s="18"/>
      <c r="F1344" s="305"/>
      <c r="I1344" s="62" t="s">
        <v>428</v>
      </c>
      <c r="J1344">
        <v>1761.42</v>
      </c>
    </row>
    <row r="1345" spans="2:10" x14ac:dyDescent="0.2">
      <c r="B1345" s="16"/>
      <c r="E1345" s="18"/>
      <c r="F1345" s="305"/>
      <c r="I1345" s="62" t="s">
        <v>429</v>
      </c>
      <c r="J1345">
        <f>2348.84*J1344</f>
        <v>4137293.7528000004</v>
      </c>
    </row>
    <row r="1346" spans="2:10" x14ac:dyDescent="0.2">
      <c r="B1346" s="16"/>
      <c r="E1346" s="18"/>
      <c r="F1346" s="305"/>
      <c r="J1346">
        <f>1.25*J1345</f>
        <v>5171617.1910000006</v>
      </c>
    </row>
    <row r="1347" spans="2:10" x14ac:dyDescent="0.2">
      <c r="B1347" s="16"/>
      <c r="E1347" s="18"/>
      <c r="F1347" s="305"/>
    </row>
    <row r="1348" spans="2:10" x14ac:dyDescent="0.2">
      <c r="B1348" s="16"/>
      <c r="E1348" s="18"/>
      <c r="F1348" s="305"/>
    </row>
    <row r="1349" spans="2:10" x14ac:dyDescent="0.2">
      <c r="B1349" s="16"/>
      <c r="E1349" s="18"/>
      <c r="F1349" s="305"/>
    </row>
    <row r="1350" spans="2:10" x14ac:dyDescent="0.2">
      <c r="B1350" s="16"/>
      <c r="E1350" s="18"/>
      <c r="F1350" s="305"/>
    </row>
    <row r="1351" spans="2:10" x14ac:dyDescent="0.2">
      <c r="B1351" s="16"/>
      <c r="E1351" s="18"/>
      <c r="F1351" s="305"/>
    </row>
    <row r="1352" spans="2:10" x14ac:dyDescent="0.2">
      <c r="B1352" s="16"/>
      <c r="E1352" s="18"/>
      <c r="F1352" s="305"/>
    </row>
    <row r="1353" spans="2:10" x14ac:dyDescent="0.2">
      <c r="B1353" s="16"/>
      <c r="E1353" s="18"/>
      <c r="F1353" s="305"/>
    </row>
    <row r="1354" spans="2:10" x14ac:dyDescent="0.2">
      <c r="B1354" s="16"/>
      <c r="E1354" s="18"/>
      <c r="F1354" s="305"/>
    </row>
    <row r="1355" spans="2:10" x14ac:dyDescent="0.2">
      <c r="B1355" s="16"/>
    </row>
    <row r="1356" spans="2:10" x14ac:dyDescent="0.2">
      <c r="B1356" s="16"/>
    </row>
    <row r="1357" spans="2:10" x14ac:dyDescent="0.2">
      <c r="B1357" s="16"/>
    </row>
    <row r="1358" spans="2:10" x14ac:dyDescent="0.2">
      <c r="B1358" s="16"/>
    </row>
    <row r="1359" spans="2:10" x14ac:dyDescent="0.2">
      <c r="B1359" s="16"/>
    </row>
    <row r="1360" spans="2:10" x14ac:dyDescent="0.2">
      <c r="B1360" s="8"/>
    </row>
    <row r="1361" spans="1:6" x14ac:dyDescent="0.2">
      <c r="B1361" s="8"/>
    </row>
    <row r="1362" spans="1:6" x14ac:dyDescent="0.2">
      <c r="B1362" s="8"/>
    </row>
    <row r="1363" spans="1:6" x14ac:dyDescent="0.2">
      <c r="B1363" s="8"/>
    </row>
    <row r="1364" spans="1:6" x14ac:dyDescent="0.2">
      <c r="B1364" s="8"/>
    </row>
    <row r="1365" spans="1:6" x14ac:dyDescent="0.2">
      <c r="B1365" s="8"/>
    </row>
    <row r="1366" spans="1:6" x14ac:dyDescent="0.2">
      <c r="B1366" s="8"/>
    </row>
    <row r="1367" spans="1:6" x14ac:dyDescent="0.2">
      <c r="B1367" s="8"/>
    </row>
    <row r="1368" spans="1:6" x14ac:dyDescent="0.2">
      <c r="B1368" s="2"/>
    </row>
    <row r="1369" spans="1:6" x14ac:dyDescent="0.2">
      <c r="B1369" s="16"/>
    </row>
    <row r="1370" spans="1:6" ht="15" x14ac:dyDescent="0.25">
      <c r="B1370" s="67"/>
      <c r="C1370" s="321"/>
      <c r="D1370" s="321"/>
      <c r="E1370" s="321"/>
      <c r="F1370" s="321"/>
    </row>
    <row r="1371" spans="1:6" x14ac:dyDescent="0.2">
      <c r="A1371" s="13"/>
      <c r="B1371" s="67"/>
    </row>
    <row r="1372" spans="1:6" x14ac:dyDescent="0.2">
      <c r="A1372" s="13"/>
      <c r="B1372" s="67"/>
    </row>
    <row r="1373" spans="1:6" x14ac:dyDescent="0.2">
      <c r="A1373" s="13"/>
      <c r="B1373" s="67"/>
    </row>
    <row r="1374" spans="1:6" x14ac:dyDescent="0.2">
      <c r="A1374" s="13"/>
      <c r="B1374" s="67"/>
      <c r="D1374" s="156"/>
    </row>
    <row r="1375" spans="1:6" x14ac:dyDescent="0.2">
      <c r="A1375" s="13"/>
      <c r="B1375" s="67"/>
    </row>
    <row r="1376" spans="1:6" x14ac:dyDescent="0.2">
      <c r="A1376" s="13"/>
      <c r="B1376" s="67"/>
    </row>
    <row r="1377" spans="1:5" x14ac:dyDescent="0.2">
      <c r="A1377" s="13"/>
      <c r="B1377" s="67"/>
      <c r="D1377" s="156"/>
    </row>
    <row r="1378" spans="1:5" x14ac:dyDescent="0.2">
      <c r="A1378" s="13"/>
      <c r="B1378" s="67"/>
      <c r="D1378" s="156"/>
    </row>
    <row r="1379" spans="1:5" x14ac:dyDescent="0.2">
      <c r="A1379" s="13"/>
      <c r="B1379" s="67"/>
    </row>
    <row r="1380" spans="1:5" x14ac:dyDescent="0.2">
      <c r="A1380" s="13"/>
      <c r="B1380" s="67"/>
    </row>
    <row r="1381" spans="1:5" x14ac:dyDescent="0.2">
      <c r="A1381" s="13"/>
      <c r="B1381" s="67"/>
    </row>
    <row r="1382" spans="1:5" x14ac:dyDescent="0.2">
      <c r="A1382" s="13"/>
      <c r="B1382" s="67"/>
    </row>
    <row r="1383" spans="1:5" x14ac:dyDescent="0.2">
      <c r="B1383" s="16"/>
    </row>
    <row r="1384" spans="1:5" x14ac:dyDescent="0.2">
      <c r="B1384" s="16"/>
    </row>
    <row r="1385" spans="1:5" x14ac:dyDescent="0.2">
      <c r="B1385" s="67"/>
    </row>
    <row r="1386" spans="1:5" x14ac:dyDescent="0.2">
      <c r="B1386" s="2"/>
    </row>
    <row r="1387" spans="1:5" x14ac:dyDescent="0.2">
      <c r="B1387" s="67"/>
      <c r="C1387" s="23"/>
      <c r="D1387" s="169"/>
      <c r="E1387" s="170"/>
    </row>
    <row r="1388" spans="1:5" x14ac:dyDescent="0.2">
      <c r="B1388" s="2"/>
    </row>
    <row r="1389" spans="1:5" x14ac:dyDescent="0.2">
      <c r="B1389" s="67"/>
      <c r="C1389" s="23"/>
      <c r="D1389" s="169"/>
      <c r="E1389" s="170"/>
    </row>
    <row r="1390" spans="1:5" x14ac:dyDescent="0.2">
      <c r="B1390" s="16"/>
    </row>
    <row r="1391" spans="1:5" x14ac:dyDescent="0.2">
      <c r="B1391" s="16"/>
    </row>
    <row r="1392" spans="1:5" x14ac:dyDescent="0.2">
      <c r="B1392" s="171"/>
    </row>
    <row r="1393" spans="2:2" x14ac:dyDescent="0.2">
      <c r="B1393" s="16"/>
    </row>
  </sheetData>
  <sheetProtection password="8481" sheet="1" objects="1" scenarios="1"/>
  <mergeCells count="6">
    <mergeCell ref="C1370:F1370"/>
    <mergeCell ref="B454:C454"/>
    <mergeCell ref="H702:M708"/>
    <mergeCell ref="H1095:M1095"/>
    <mergeCell ref="C1313:F1313"/>
    <mergeCell ref="I1333:K1338"/>
  </mergeCells>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L280"/>
  <sheetViews>
    <sheetView view="pageBreakPreview" zoomScale="115" zoomScaleNormal="100" zoomScaleSheetLayoutView="115" workbookViewId="0">
      <selection activeCell="B14" sqref="B14"/>
    </sheetView>
  </sheetViews>
  <sheetFormatPr defaultRowHeight="12.75" x14ac:dyDescent="0.2"/>
  <cols>
    <col min="1" max="1" width="7" style="194" customWidth="1"/>
    <col min="2" max="2" width="40.85546875" style="40" customWidth="1"/>
    <col min="3" max="3" width="8" style="37" customWidth="1"/>
    <col min="4" max="4" width="9.140625" style="33"/>
    <col min="5" max="5" width="10.7109375" style="37" customWidth="1"/>
    <col min="6" max="6" width="11.85546875" style="237" customWidth="1"/>
    <col min="7" max="7" width="9.140625" style="40"/>
    <col min="8" max="8" width="0" style="40" hidden="1" customWidth="1"/>
    <col min="9" max="16384" width="9.140625" style="40"/>
  </cols>
  <sheetData>
    <row r="3" spans="1:8" x14ac:dyDescent="0.2">
      <c r="A3" s="30"/>
      <c r="B3" s="172"/>
      <c r="E3" s="33"/>
      <c r="F3" s="34"/>
    </row>
    <row r="4" spans="1:8" x14ac:dyDescent="0.2">
      <c r="A4" s="30"/>
      <c r="B4" s="172"/>
      <c r="E4" s="33"/>
      <c r="F4" s="34"/>
    </row>
    <row r="5" spans="1:8" x14ac:dyDescent="0.2">
      <c r="A5" s="30"/>
      <c r="B5" s="173"/>
      <c r="E5" s="33"/>
      <c r="F5" s="34"/>
    </row>
    <row r="6" spans="1:8" x14ac:dyDescent="0.2">
      <c r="A6" s="30"/>
      <c r="B6" s="174"/>
      <c r="C6" s="329"/>
      <c r="D6" s="329"/>
      <c r="E6" s="329"/>
      <c r="F6" s="329"/>
    </row>
    <row r="7" spans="1:8" ht="25.5" x14ac:dyDescent="0.2">
      <c r="A7" s="175" t="s">
        <v>4</v>
      </c>
      <c r="B7" s="176" t="s">
        <v>482</v>
      </c>
      <c r="C7" s="177" t="s">
        <v>6</v>
      </c>
      <c r="D7" s="178" t="s">
        <v>7</v>
      </c>
      <c r="E7" s="178" t="s">
        <v>8</v>
      </c>
      <c r="F7" s="179" t="s">
        <v>9</v>
      </c>
      <c r="H7" s="180"/>
    </row>
    <row r="8" spans="1:8" x14ac:dyDescent="0.2">
      <c r="A8" s="181"/>
      <c r="B8" s="182"/>
      <c r="E8" s="33"/>
      <c r="F8" s="34"/>
      <c r="H8" s="180"/>
    </row>
    <row r="9" spans="1:8" ht="38.25" x14ac:dyDescent="0.2">
      <c r="A9" s="30" t="s">
        <v>11</v>
      </c>
      <c r="B9" s="183" t="s">
        <v>430</v>
      </c>
      <c r="E9" s="33"/>
      <c r="F9" s="34"/>
    </row>
    <row r="10" spans="1:8" x14ac:dyDescent="0.2">
      <c r="A10" s="30"/>
      <c r="B10" s="184" t="s">
        <v>431</v>
      </c>
      <c r="C10" s="37" t="s">
        <v>432</v>
      </c>
      <c r="D10" s="33">
        <v>50</v>
      </c>
      <c r="E10" s="262"/>
      <c r="F10" s="304">
        <f>ROUND(D10*E10,2)</f>
        <v>0</v>
      </c>
    </row>
    <row r="11" spans="1:8" x14ac:dyDescent="0.2">
      <c r="A11" s="30"/>
      <c r="B11" s="184" t="s">
        <v>433</v>
      </c>
      <c r="C11" s="37" t="s">
        <v>432</v>
      </c>
      <c r="D11" s="33">
        <v>50</v>
      </c>
      <c r="E11" s="262"/>
      <c r="F11" s="304">
        <f t="shared" ref="F11:F16" si="0">ROUND(D11*E11,2)</f>
        <v>0</v>
      </c>
    </row>
    <row r="12" spans="1:8" x14ac:dyDescent="0.2">
      <c r="A12" s="30"/>
      <c r="B12" s="184"/>
      <c r="E12" s="33"/>
      <c r="F12" s="304"/>
    </row>
    <row r="13" spans="1:8" x14ac:dyDescent="0.2">
      <c r="A13" s="30"/>
      <c r="B13" s="184"/>
      <c r="E13" s="262"/>
      <c r="F13" s="304"/>
    </row>
    <row r="14" spans="1:8" customFormat="1" ht="150" customHeight="1" x14ac:dyDescent="0.2">
      <c r="A14" s="1" t="s">
        <v>31</v>
      </c>
      <c r="B14" s="60" t="s">
        <v>51</v>
      </c>
      <c r="C14" s="3"/>
      <c r="D14" s="18"/>
      <c r="E14" s="261"/>
      <c r="F14" s="304"/>
    </row>
    <row r="15" spans="1:8" customFormat="1" ht="13.5" customHeight="1" x14ac:dyDescent="0.2">
      <c r="A15" s="317"/>
      <c r="B15" s="318" t="s">
        <v>53</v>
      </c>
      <c r="C15" s="3" t="s">
        <v>48</v>
      </c>
      <c r="D15" s="18">
        <v>170</v>
      </c>
      <c r="E15" s="261"/>
      <c r="F15" s="304">
        <f t="shared" si="0"/>
        <v>0</v>
      </c>
    </row>
    <row r="16" spans="1:8" customFormat="1" ht="13.5" customHeight="1" x14ac:dyDescent="0.2">
      <c r="A16" s="317"/>
      <c r="B16" s="318" t="s">
        <v>55</v>
      </c>
      <c r="C16" s="3" t="s">
        <v>48</v>
      </c>
      <c r="D16" s="18">
        <v>170</v>
      </c>
      <c r="E16" s="261"/>
      <c r="F16" s="304">
        <f t="shared" si="0"/>
        <v>0</v>
      </c>
    </row>
    <row r="17" spans="1:6" customFormat="1" ht="13.5" customHeight="1" x14ac:dyDescent="0.2">
      <c r="A17" s="317"/>
      <c r="B17" s="318" t="s">
        <v>57</v>
      </c>
      <c r="C17" s="3" t="s">
        <v>48</v>
      </c>
      <c r="D17" s="18">
        <v>150</v>
      </c>
      <c r="E17" s="261"/>
      <c r="F17" s="304">
        <f>ROUND(D17*E17,2)</f>
        <v>0</v>
      </c>
    </row>
    <row r="18" spans="1:6" customFormat="1" ht="13.5" customHeight="1" x14ac:dyDescent="0.2">
      <c r="A18" s="1"/>
      <c r="B18" s="244"/>
      <c r="C18" s="3"/>
      <c r="D18" s="18"/>
      <c r="E18" s="261"/>
      <c r="F18" s="19"/>
    </row>
    <row r="19" spans="1:6" x14ac:dyDescent="0.2">
      <c r="A19" s="30"/>
      <c r="B19" s="184"/>
      <c r="E19" s="262"/>
      <c r="F19" s="34"/>
    </row>
    <row r="20" spans="1:6" x14ac:dyDescent="0.2">
      <c r="A20" s="30"/>
      <c r="B20" s="184"/>
      <c r="E20" s="262"/>
      <c r="F20" s="34"/>
    </row>
    <row r="21" spans="1:6" ht="25.5" x14ac:dyDescent="0.2">
      <c r="A21" s="185"/>
      <c r="B21" s="186" t="s">
        <v>484</v>
      </c>
      <c r="C21" s="187"/>
      <c r="D21" s="188"/>
      <c r="E21" s="284"/>
      <c r="F21" s="189">
        <f>ROUND(SUM(F10:F17),2)</f>
        <v>0</v>
      </c>
    </row>
    <row r="22" spans="1:6" x14ac:dyDescent="0.2">
      <c r="A22" s="30"/>
      <c r="B22" s="184"/>
      <c r="E22" s="262"/>
      <c r="F22" s="34"/>
    </row>
    <row r="23" spans="1:6" x14ac:dyDescent="0.2">
      <c r="A23" s="30"/>
      <c r="B23" s="184"/>
      <c r="E23" s="262"/>
      <c r="F23" s="34"/>
    </row>
    <row r="24" spans="1:6" x14ac:dyDescent="0.2">
      <c r="A24" s="30"/>
      <c r="B24" s="184"/>
      <c r="E24" s="262"/>
      <c r="F24" s="34"/>
    </row>
    <row r="25" spans="1:6" x14ac:dyDescent="0.2">
      <c r="A25" s="30"/>
      <c r="B25" s="184"/>
      <c r="E25" s="262"/>
      <c r="F25" s="34"/>
    </row>
    <row r="26" spans="1:6" x14ac:dyDescent="0.2">
      <c r="A26" s="30"/>
      <c r="B26" s="184"/>
      <c r="E26" s="262"/>
      <c r="F26" s="34"/>
    </row>
    <row r="27" spans="1:6" x14ac:dyDescent="0.2">
      <c r="A27" s="30"/>
      <c r="B27" s="184"/>
      <c r="E27" s="262"/>
      <c r="F27" s="34"/>
    </row>
    <row r="28" spans="1:6" x14ac:dyDescent="0.2">
      <c r="A28" s="30"/>
      <c r="B28" s="184"/>
      <c r="E28" s="262"/>
      <c r="F28" s="34"/>
    </row>
    <row r="29" spans="1:6" x14ac:dyDescent="0.2">
      <c r="A29" s="30"/>
      <c r="B29" s="184"/>
      <c r="E29" s="262"/>
      <c r="F29" s="34"/>
    </row>
    <row r="30" spans="1:6" x14ac:dyDescent="0.2">
      <c r="A30" s="30"/>
      <c r="B30" s="184"/>
      <c r="E30" s="262"/>
      <c r="F30" s="34"/>
    </row>
    <row r="31" spans="1:6" x14ac:dyDescent="0.2">
      <c r="A31" s="30"/>
      <c r="B31" s="184"/>
      <c r="E31" s="262"/>
      <c r="F31" s="34"/>
    </row>
    <row r="32" spans="1:6" x14ac:dyDescent="0.2">
      <c r="A32" s="30"/>
      <c r="B32" s="184"/>
      <c r="E32" s="262"/>
      <c r="F32" s="34"/>
    </row>
    <row r="33" spans="1:6" x14ac:dyDescent="0.2">
      <c r="A33" s="30"/>
      <c r="B33" s="184"/>
      <c r="E33" s="262"/>
      <c r="F33" s="34"/>
    </row>
    <row r="34" spans="1:6" x14ac:dyDescent="0.2">
      <c r="A34" s="30"/>
      <c r="B34" s="184"/>
      <c r="E34" s="262"/>
      <c r="F34" s="34"/>
    </row>
    <row r="35" spans="1:6" x14ac:dyDescent="0.2">
      <c r="A35" s="30"/>
      <c r="B35" s="184"/>
      <c r="E35" s="262"/>
      <c r="F35" s="34"/>
    </row>
    <row r="36" spans="1:6" x14ac:dyDescent="0.2">
      <c r="A36" s="30"/>
      <c r="B36" s="184"/>
      <c r="E36" s="262"/>
      <c r="F36" s="34"/>
    </row>
    <row r="37" spans="1:6" x14ac:dyDescent="0.2">
      <c r="A37" s="30"/>
      <c r="B37" s="184"/>
      <c r="E37" s="262"/>
      <c r="F37" s="34"/>
    </row>
    <row r="38" spans="1:6" x14ac:dyDescent="0.2">
      <c r="A38" s="30"/>
      <c r="B38" s="184"/>
      <c r="E38" s="262"/>
      <c r="F38" s="34"/>
    </row>
    <row r="39" spans="1:6" x14ac:dyDescent="0.2">
      <c r="A39" s="30"/>
      <c r="B39" s="184"/>
      <c r="E39" s="262"/>
      <c r="F39" s="34"/>
    </row>
    <row r="40" spans="1:6" x14ac:dyDescent="0.2">
      <c r="A40" s="30"/>
      <c r="B40" s="184"/>
      <c r="E40" s="262"/>
      <c r="F40" s="34"/>
    </row>
    <row r="41" spans="1:6" x14ac:dyDescent="0.2">
      <c r="A41" s="30"/>
      <c r="B41" s="184"/>
      <c r="E41" s="262"/>
      <c r="F41" s="34"/>
    </row>
    <row r="42" spans="1:6" x14ac:dyDescent="0.2">
      <c r="A42" s="30"/>
      <c r="B42" s="184"/>
      <c r="E42" s="262"/>
      <c r="F42" s="34"/>
    </row>
    <row r="43" spans="1:6" ht="13.5" customHeight="1" x14ac:dyDescent="0.2">
      <c r="A43" s="175" t="s">
        <v>231</v>
      </c>
      <c r="B43" s="190" t="s">
        <v>485</v>
      </c>
      <c r="C43" s="177" t="s">
        <v>6</v>
      </c>
      <c r="D43" s="178" t="s">
        <v>7</v>
      </c>
      <c r="E43" s="285" t="s">
        <v>8</v>
      </c>
      <c r="F43" s="179" t="s">
        <v>9</v>
      </c>
    </row>
    <row r="44" spans="1:6" ht="13.5" customHeight="1" x14ac:dyDescent="0.2">
      <c r="A44" s="181"/>
      <c r="B44" s="173"/>
      <c r="E44" s="262"/>
      <c r="F44" s="34"/>
    </row>
    <row r="45" spans="1:6" ht="58.5" customHeight="1" x14ac:dyDescent="0.2">
      <c r="A45" s="30" t="s">
        <v>11</v>
      </c>
      <c r="B45" s="183" t="s">
        <v>434</v>
      </c>
      <c r="E45" s="262"/>
      <c r="F45" s="34"/>
    </row>
    <row r="46" spans="1:6" ht="14.25" x14ac:dyDescent="0.2">
      <c r="A46" s="30" t="s">
        <v>12</v>
      </c>
      <c r="B46" s="184" t="s">
        <v>458</v>
      </c>
      <c r="C46" s="37" t="s">
        <v>48</v>
      </c>
      <c r="D46" s="33">
        <v>100</v>
      </c>
      <c r="E46" s="262"/>
      <c r="F46" s="304">
        <f t="shared" ref="F46" si="1">ROUND(D46*E46,2)</f>
        <v>0</v>
      </c>
    </row>
    <row r="47" spans="1:6" x14ac:dyDescent="0.2">
      <c r="A47" s="30"/>
      <c r="B47" s="184"/>
      <c r="E47" s="262"/>
      <c r="F47" s="34"/>
    </row>
    <row r="48" spans="1:6" x14ac:dyDescent="0.2">
      <c r="A48" s="185"/>
      <c r="B48" s="186" t="s">
        <v>486</v>
      </c>
      <c r="C48" s="191"/>
      <c r="D48" s="188"/>
      <c r="E48" s="284"/>
      <c r="F48" s="189">
        <f>F46</f>
        <v>0</v>
      </c>
    </row>
    <row r="49" spans="1:6" x14ac:dyDescent="0.2">
      <c r="A49" s="30"/>
      <c r="B49" s="182"/>
      <c r="E49" s="262"/>
      <c r="F49" s="34"/>
    </row>
    <row r="50" spans="1:6" x14ac:dyDescent="0.2">
      <c r="A50" s="30"/>
      <c r="B50" s="182"/>
      <c r="E50" s="262"/>
      <c r="F50" s="34"/>
    </row>
    <row r="51" spans="1:6" x14ac:dyDescent="0.2">
      <c r="A51" s="30"/>
      <c r="B51" s="182"/>
      <c r="E51" s="262"/>
      <c r="F51" s="34"/>
    </row>
    <row r="52" spans="1:6" x14ac:dyDescent="0.2">
      <c r="A52" s="30"/>
      <c r="B52" s="182"/>
      <c r="E52" s="262"/>
      <c r="F52" s="34"/>
    </row>
    <row r="53" spans="1:6" x14ac:dyDescent="0.2">
      <c r="A53" s="30"/>
      <c r="B53" s="182"/>
      <c r="E53" s="262"/>
      <c r="F53" s="34"/>
    </row>
    <row r="54" spans="1:6" x14ac:dyDescent="0.2">
      <c r="A54" s="30"/>
      <c r="B54" s="182"/>
      <c r="E54" s="262"/>
      <c r="F54" s="34"/>
    </row>
    <row r="55" spans="1:6" x14ac:dyDescent="0.2">
      <c r="A55" s="30"/>
      <c r="B55" s="182"/>
      <c r="E55" s="262"/>
      <c r="F55" s="34"/>
    </row>
    <row r="56" spans="1:6" x14ac:dyDescent="0.2">
      <c r="A56" s="30"/>
      <c r="B56" s="182"/>
      <c r="E56" s="262"/>
      <c r="F56" s="34"/>
    </row>
    <row r="57" spans="1:6" x14ac:dyDescent="0.2">
      <c r="A57" s="30"/>
      <c r="B57" s="182"/>
      <c r="E57" s="262"/>
      <c r="F57" s="34"/>
    </row>
    <row r="58" spans="1:6" x14ac:dyDescent="0.2">
      <c r="A58" s="30"/>
      <c r="B58" s="182"/>
      <c r="E58" s="262"/>
      <c r="F58" s="34"/>
    </row>
    <row r="59" spans="1:6" x14ac:dyDescent="0.2">
      <c r="A59" s="30"/>
      <c r="B59" s="182"/>
      <c r="E59" s="262"/>
      <c r="F59" s="34"/>
    </row>
    <row r="60" spans="1:6" x14ac:dyDescent="0.2">
      <c r="A60" s="30"/>
      <c r="B60" s="182"/>
      <c r="E60" s="262"/>
      <c r="F60" s="34"/>
    </row>
    <row r="61" spans="1:6" x14ac:dyDescent="0.2">
      <c r="A61" s="30"/>
      <c r="B61" s="182"/>
      <c r="E61" s="262"/>
      <c r="F61" s="34"/>
    </row>
    <row r="62" spans="1:6" x14ac:dyDescent="0.2">
      <c r="A62" s="30"/>
      <c r="B62" s="182"/>
      <c r="E62" s="262"/>
      <c r="F62" s="34"/>
    </row>
    <row r="63" spans="1:6" x14ac:dyDescent="0.2">
      <c r="A63" s="30"/>
      <c r="B63" s="182"/>
      <c r="E63" s="262"/>
      <c r="F63" s="34"/>
    </row>
    <row r="64" spans="1:6" x14ac:dyDescent="0.2">
      <c r="A64" s="30"/>
      <c r="B64" s="182"/>
      <c r="E64" s="262"/>
      <c r="F64" s="34"/>
    </row>
    <row r="65" spans="1:6" x14ac:dyDescent="0.2">
      <c r="A65" s="30"/>
      <c r="B65" s="182"/>
      <c r="E65" s="262"/>
      <c r="F65" s="34"/>
    </row>
    <row r="66" spans="1:6" x14ac:dyDescent="0.2">
      <c r="A66" s="30"/>
      <c r="B66" s="182"/>
      <c r="E66" s="262"/>
      <c r="F66" s="34"/>
    </row>
    <row r="67" spans="1:6" x14ac:dyDescent="0.2">
      <c r="A67" s="30"/>
      <c r="B67" s="182"/>
      <c r="E67" s="262"/>
      <c r="F67" s="34"/>
    </row>
    <row r="68" spans="1:6" x14ac:dyDescent="0.2">
      <c r="A68" s="30"/>
      <c r="B68" s="182"/>
      <c r="E68" s="262"/>
      <c r="F68" s="34"/>
    </row>
    <row r="69" spans="1:6" x14ac:dyDescent="0.2">
      <c r="A69" s="30"/>
      <c r="B69" s="182"/>
      <c r="E69" s="262"/>
      <c r="F69" s="34"/>
    </row>
    <row r="70" spans="1:6" x14ac:dyDescent="0.2">
      <c r="A70" s="30"/>
      <c r="B70" s="182"/>
      <c r="E70" s="262"/>
      <c r="F70" s="34"/>
    </row>
    <row r="71" spans="1:6" x14ac:dyDescent="0.2">
      <c r="A71" s="30"/>
      <c r="B71" s="182"/>
      <c r="E71" s="262"/>
      <c r="F71" s="34"/>
    </row>
    <row r="72" spans="1:6" x14ac:dyDescent="0.2">
      <c r="A72" s="30"/>
      <c r="B72" s="182"/>
      <c r="E72" s="262"/>
      <c r="F72" s="34"/>
    </row>
    <row r="73" spans="1:6" x14ac:dyDescent="0.2">
      <c r="A73" s="30"/>
      <c r="B73" s="182"/>
      <c r="E73" s="262"/>
      <c r="F73" s="34"/>
    </row>
    <row r="74" spans="1:6" x14ac:dyDescent="0.2">
      <c r="A74" s="30"/>
      <c r="B74" s="182"/>
      <c r="E74" s="262"/>
      <c r="F74" s="34"/>
    </row>
    <row r="75" spans="1:6" x14ac:dyDescent="0.2">
      <c r="A75" s="30"/>
      <c r="B75" s="182"/>
      <c r="E75" s="262"/>
      <c r="F75" s="34"/>
    </row>
    <row r="76" spans="1:6" x14ac:dyDescent="0.2">
      <c r="A76" s="30"/>
      <c r="B76" s="182"/>
      <c r="E76" s="262"/>
      <c r="F76" s="34"/>
    </row>
    <row r="77" spans="1:6" x14ac:dyDescent="0.2">
      <c r="A77" s="30"/>
      <c r="B77" s="182"/>
      <c r="E77" s="262"/>
      <c r="F77" s="34"/>
    </row>
    <row r="78" spans="1:6" x14ac:dyDescent="0.2">
      <c r="A78" s="30"/>
      <c r="B78" s="182"/>
      <c r="E78" s="262"/>
      <c r="F78" s="34"/>
    </row>
    <row r="79" spans="1:6" x14ac:dyDescent="0.2">
      <c r="A79" s="30"/>
      <c r="B79" s="182"/>
      <c r="E79" s="262"/>
      <c r="F79" s="34"/>
    </row>
    <row r="80" spans="1:6" x14ac:dyDescent="0.2">
      <c r="A80" s="30"/>
      <c r="B80" s="182"/>
      <c r="E80" s="262"/>
      <c r="F80" s="34"/>
    </row>
    <row r="81" spans="1:6" x14ac:dyDescent="0.2">
      <c r="A81" s="30"/>
      <c r="B81" s="182"/>
      <c r="E81" s="262"/>
      <c r="F81" s="34"/>
    </row>
    <row r="82" spans="1:6" x14ac:dyDescent="0.2">
      <c r="A82" s="30"/>
      <c r="B82" s="182"/>
      <c r="E82" s="262"/>
      <c r="F82" s="34"/>
    </row>
    <row r="83" spans="1:6" x14ac:dyDescent="0.2">
      <c r="A83" s="30"/>
      <c r="B83" s="182"/>
      <c r="E83" s="262"/>
      <c r="F83" s="34"/>
    </row>
    <row r="84" spans="1:6" x14ac:dyDescent="0.2">
      <c r="A84" s="30"/>
      <c r="B84" s="182"/>
      <c r="E84" s="262"/>
      <c r="F84" s="34"/>
    </row>
    <row r="85" spans="1:6" x14ac:dyDescent="0.2">
      <c r="A85" s="30"/>
      <c r="B85" s="182"/>
      <c r="E85" s="262"/>
      <c r="F85" s="34"/>
    </row>
    <row r="86" spans="1:6" x14ac:dyDescent="0.2">
      <c r="A86" s="30"/>
      <c r="B86" s="182"/>
      <c r="E86" s="262"/>
      <c r="F86" s="34"/>
    </row>
    <row r="87" spans="1:6" x14ac:dyDescent="0.2">
      <c r="A87" s="30"/>
      <c r="B87" s="182"/>
      <c r="E87" s="262"/>
      <c r="F87" s="34"/>
    </row>
    <row r="88" spans="1:6" x14ac:dyDescent="0.2">
      <c r="A88" s="30"/>
      <c r="B88" s="182"/>
      <c r="E88" s="262"/>
      <c r="F88" s="34"/>
    </row>
    <row r="89" spans="1:6" x14ac:dyDescent="0.2">
      <c r="A89" s="30"/>
      <c r="B89" s="182"/>
      <c r="E89" s="262"/>
      <c r="F89" s="34"/>
    </row>
    <row r="90" spans="1:6" x14ac:dyDescent="0.2">
      <c r="A90" s="30"/>
      <c r="B90" s="182"/>
      <c r="E90" s="262"/>
      <c r="F90" s="34"/>
    </row>
    <row r="91" spans="1:6" x14ac:dyDescent="0.2">
      <c r="A91" s="30"/>
      <c r="B91" s="182"/>
      <c r="E91" s="262"/>
      <c r="F91" s="34"/>
    </row>
    <row r="92" spans="1:6" x14ac:dyDescent="0.2">
      <c r="A92" s="30"/>
      <c r="B92" s="182"/>
      <c r="E92" s="262"/>
      <c r="F92" s="34"/>
    </row>
    <row r="93" spans="1:6" x14ac:dyDescent="0.2">
      <c r="A93" s="30"/>
      <c r="B93" s="182"/>
      <c r="E93" s="262"/>
      <c r="F93" s="34"/>
    </row>
    <row r="94" spans="1:6" x14ac:dyDescent="0.2">
      <c r="A94" s="30"/>
      <c r="B94" s="182"/>
      <c r="E94" s="262"/>
      <c r="F94" s="34"/>
    </row>
    <row r="95" spans="1:6" ht="25.5" x14ac:dyDescent="0.2">
      <c r="A95" s="175" t="s">
        <v>251</v>
      </c>
      <c r="B95" s="192" t="s">
        <v>487</v>
      </c>
      <c r="C95" s="177" t="s">
        <v>6</v>
      </c>
      <c r="D95" s="178" t="s">
        <v>7</v>
      </c>
      <c r="E95" s="285" t="s">
        <v>8</v>
      </c>
      <c r="F95" s="179" t="s">
        <v>9</v>
      </c>
    </row>
    <row r="96" spans="1:6" x14ac:dyDescent="0.2">
      <c r="A96" s="181"/>
      <c r="B96" s="173"/>
      <c r="E96" s="262"/>
      <c r="F96" s="34"/>
    </row>
    <row r="97" spans="1:9" ht="57.75" customHeight="1" x14ac:dyDescent="0.2">
      <c r="A97" s="30" t="s">
        <v>11</v>
      </c>
      <c r="B97" s="183" t="s">
        <v>434</v>
      </c>
      <c r="E97" s="262"/>
      <c r="F97" s="34"/>
    </row>
    <row r="98" spans="1:9" ht="28.5" customHeight="1" x14ac:dyDescent="0.2">
      <c r="A98" s="30"/>
      <c r="B98" s="250"/>
      <c r="C98" s="47" t="s">
        <v>332</v>
      </c>
      <c r="D98" s="97">
        <v>100</v>
      </c>
      <c r="E98" s="286"/>
      <c r="F98" s="304">
        <f t="shared" ref="F98" si="2">ROUND(D98*E98,2)</f>
        <v>0</v>
      </c>
    </row>
    <row r="99" spans="1:9" x14ac:dyDescent="0.2">
      <c r="A99" s="30"/>
      <c r="B99" s="251"/>
      <c r="E99" s="287"/>
      <c r="F99" s="34"/>
      <c r="I99" s="193"/>
    </row>
    <row r="100" spans="1:9" x14ac:dyDescent="0.2">
      <c r="A100" s="185"/>
      <c r="B100" s="190" t="s">
        <v>488</v>
      </c>
      <c r="C100" s="191"/>
      <c r="D100" s="188"/>
      <c r="E100" s="284"/>
      <c r="F100" s="189">
        <f>F98</f>
        <v>0</v>
      </c>
    </row>
    <row r="101" spans="1:9" x14ac:dyDescent="0.2">
      <c r="A101" s="30"/>
      <c r="B101" s="184"/>
      <c r="E101" s="262"/>
      <c r="F101" s="34"/>
    </row>
    <row r="102" spans="1:9" x14ac:dyDescent="0.2">
      <c r="A102" s="30"/>
      <c r="B102" s="184"/>
      <c r="E102" s="262"/>
      <c r="F102" s="34"/>
    </row>
    <row r="103" spans="1:9" x14ac:dyDescent="0.2">
      <c r="A103" s="30"/>
      <c r="B103" s="184"/>
      <c r="E103" s="262"/>
      <c r="F103" s="34"/>
    </row>
    <row r="104" spans="1:9" x14ac:dyDescent="0.2">
      <c r="A104" s="30"/>
      <c r="B104" s="184"/>
      <c r="E104" s="262"/>
      <c r="F104" s="34"/>
    </row>
    <row r="105" spans="1:9" x14ac:dyDescent="0.2">
      <c r="A105" s="30"/>
      <c r="B105" s="184"/>
      <c r="E105" s="262"/>
      <c r="F105" s="34"/>
    </row>
    <row r="106" spans="1:9" x14ac:dyDescent="0.2">
      <c r="A106" s="30"/>
      <c r="B106" s="184"/>
      <c r="E106" s="262"/>
      <c r="F106" s="34"/>
    </row>
    <row r="107" spans="1:9" x14ac:dyDescent="0.2">
      <c r="A107" s="30"/>
      <c r="B107" s="184"/>
      <c r="E107" s="262"/>
      <c r="F107" s="34"/>
    </row>
    <row r="108" spans="1:9" x14ac:dyDescent="0.2">
      <c r="A108" s="30"/>
      <c r="B108" s="184"/>
      <c r="E108" s="262"/>
      <c r="F108" s="34"/>
    </row>
    <row r="109" spans="1:9" x14ac:dyDescent="0.2">
      <c r="A109" s="30"/>
      <c r="B109" s="184"/>
      <c r="E109" s="262"/>
      <c r="F109" s="34"/>
    </row>
    <row r="110" spans="1:9" x14ac:dyDescent="0.2">
      <c r="A110" s="30"/>
      <c r="B110" s="184"/>
      <c r="E110" s="262"/>
      <c r="F110" s="34"/>
    </row>
    <row r="111" spans="1:9" x14ac:dyDescent="0.2">
      <c r="A111" s="30"/>
      <c r="B111" s="184"/>
      <c r="E111" s="262"/>
      <c r="F111" s="34"/>
    </row>
    <row r="112" spans="1:9" x14ac:dyDescent="0.2">
      <c r="A112" s="30"/>
      <c r="B112" s="184"/>
      <c r="E112" s="262"/>
      <c r="F112" s="34"/>
    </row>
    <row r="113" spans="1:6" x14ac:dyDescent="0.2">
      <c r="A113" s="30"/>
      <c r="B113" s="184"/>
      <c r="E113" s="262"/>
      <c r="F113" s="34"/>
    </row>
    <row r="114" spans="1:6" x14ac:dyDescent="0.2">
      <c r="A114" s="30"/>
      <c r="B114" s="184"/>
      <c r="E114" s="262"/>
      <c r="F114" s="34"/>
    </row>
    <row r="115" spans="1:6" x14ac:dyDescent="0.2">
      <c r="A115" s="30"/>
      <c r="B115" s="184"/>
      <c r="E115" s="262"/>
      <c r="F115" s="34"/>
    </row>
    <row r="116" spans="1:6" x14ac:dyDescent="0.2">
      <c r="A116" s="30"/>
      <c r="B116" s="184"/>
      <c r="E116" s="262"/>
      <c r="F116" s="34"/>
    </row>
    <row r="117" spans="1:6" x14ac:dyDescent="0.2">
      <c r="A117" s="30"/>
      <c r="B117" s="184"/>
      <c r="E117" s="262"/>
      <c r="F117" s="34"/>
    </row>
    <row r="118" spans="1:6" x14ac:dyDescent="0.2">
      <c r="A118" s="30"/>
      <c r="B118" s="184"/>
      <c r="E118" s="262"/>
      <c r="F118" s="34"/>
    </row>
    <row r="119" spans="1:6" x14ac:dyDescent="0.2">
      <c r="A119" s="30"/>
      <c r="B119" s="184"/>
      <c r="E119" s="262"/>
      <c r="F119" s="34"/>
    </row>
    <row r="120" spans="1:6" x14ac:dyDescent="0.2">
      <c r="A120" s="30"/>
      <c r="B120" s="184"/>
      <c r="E120" s="262"/>
      <c r="F120" s="34"/>
    </row>
    <row r="121" spans="1:6" x14ac:dyDescent="0.2">
      <c r="A121" s="30"/>
      <c r="B121" s="184"/>
      <c r="E121" s="262"/>
      <c r="F121" s="34"/>
    </row>
    <row r="122" spans="1:6" x14ac:dyDescent="0.2">
      <c r="A122" s="30"/>
      <c r="B122" s="184"/>
      <c r="E122" s="262"/>
      <c r="F122" s="34"/>
    </row>
    <row r="123" spans="1:6" x14ac:dyDescent="0.2">
      <c r="A123" s="30"/>
      <c r="B123" s="184"/>
      <c r="E123" s="262"/>
      <c r="F123" s="34"/>
    </row>
    <row r="124" spans="1:6" x14ac:dyDescent="0.2">
      <c r="A124" s="30"/>
      <c r="B124" s="184"/>
      <c r="E124" s="262"/>
      <c r="F124" s="34"/>
    </row>
    <row r="125" spans="1:6" x14ac:dyDescent="0.2">
      <c r="A125" s="30"/>
      <c r="B125" s="184"/>
      <c r="E125" s="262"/>
      <c r="F125" s="34"/>
    </row>
    <row r="126" spans="1:6" x14ac:dyDescent="0.2">
      <c r="A126" s="30"/>
      <c r="B126" s="184"/>
      <c r="E126" s="262"/>
      <c r="F126" s="34"/>
    </row>
    <row r="127" spans="1:6" x14ac:dyDescent="0.2">
      <c r="A127" s="30"/>
      <c r="B127" s="184"/>
      <c r="E127" s="262"/>
      <c r="F127" s="34"/>
    </row>
    <row r="128" spans="1:6" x14ac:dyDescent="0.2">
      <c r="A128" s="30"/>
      <c r="B128" s="184"/>
      <c r="E128" s="262"/>
      <c r="F128" s="34"/>
    </row>
    <row r="129" spans="1:6" x14ac:dyDescent="0.2">
      <c r="A129" s="30"/>
      <c r="B129" s="184"/>
      <c r="E129" s="262"/>
      <c r="F129" s="34"/>
    </row>
    <row r="130" spans="1:6" x14ac:dyDescent="0.2">
      <c r="A130" s="30"/>
      <c r="B130" s="184"/>
      <c r="E130" s="262"/>
      <c r="F130" s="34"/>
    </row>
    <row r="131" spans="1:6" x14ac:dyDescent="0.2">
      <c r="A131" s="30"/>
      <c r="B131" s="184"/>
      <c r="E131" s="262"/>
      <c r="F131" s="34"/>
    </row>
    <row r="132" spans="1:6" x14ac:dyDescent="0.2">
      <c r="A132" s="30"/>
      <c r="B132" s="184"/>
      <c r="E132" s="262"/>
      <c r="F132" s="34"/>
    </row>
    <row r="133" spans="1:6" x14ac:dyDescent="0.2">
      <c r="A133" s="30"/>
      <c r="B133" s="184"/>
      <c r="E133" s="262"/>
      <c r="F133" s="34"/>
    </row>
    <row r="134" spans="1:6" x14ac:dyDescent="0.2">
      <c r="A134" s="30"/>
      <c r="B134" s="184"/>
      <c r="E134" s="262"/>
      <c r="F134" s="34"/>
    </row>
    <row r="135" spans="1:6" x14ac:dyDescent="0.2">
      <c r="A135" s="30"/>
      <c r="B135" s="184"/>
      <c r="E135" s="262"/>
      <c r="F135" s="34"/>
    </row>
    <row r="136" spans="1:6" x14ac:dyDescent="0.2">
      <c r="A136" s="30"/>
      <c r="B136" s="184"/>
      <c r="E136" s="262"/>
      <c r="F136" s="34"/>
    </row>
    <row r="137" spans="1:6" x14ac:dyDescent="0.2">
      <c r="A137" s="30"/>
      <c r="B137" s="184"/>
      <c r="E137" s="262"/>
      <c r="F137" s="34"/>
    </row>
    <row r="138" spans="1:6" x14ac:dyDescent="0.2">
      <c r="A138" s="30"/>
      <c r="B138" s="184"/>
      <c r="E138" s="262"/>
      <c r="F138" s="34"/>
    </row>
    <row r="139" spans="1:6" x14ac:dyDescent="0.2">
      <c r="A139" s="30"/>
      <c r="B139" s="184"/>
      <c r="E139" s="262"/>
      <c r="F139" s="34"/>
    </row>
    <row r="140" spans="1:6" x14ac:dyDescent="0.2">
      <c r="A140" s="30"/>
      <c r="B140" s="184"/>
      <c r="E140" s="262"/>
      <c r="F140" s="34"/>
    </row>
    <row r="141" spans="1:6" x14ac:dyDescent="0.2">
      <c r="A141" s="30"/>
      <c r="B141" s="184"/>
      <c r="E141" s="262"/>
      <c r="F141" s="34"/>
    </row>
    <row r="142" spans="1:6" x14ac:dyDescent="0.2">
      <c r="A142" s="30"/>
      <c r="B142" s="184"/>
      <c r="E142" s="262"/>
      <c r="F142" s="34"/>
    </row>
    <row r="143" spans="1:6" x14ac:dyDescent="0.2">
      <c r="A143" s="30"/>
      <c r="B143" s="184"/>
      <c r="E143" s="262"/>
      <c r="F143" s="34"/>
    </row>
    <row r="144" spans="1:6" x14ac:dyDescent="0.2">
      <c r="A144" s="30"/>
      <c r="B144" s="184"/>
      <c r="E144" s="262"/>
      <c r="F144" s="34"/>
    </row>
    <row r="145" spans="1:8" x14ac:dyDescent="0.2">
      <c r="A145" s="175" t="s">
        <v>321</v>
      </c>
      <c r="B145" s="190" t="s">
        <v>489</v>
      </c>
      <c r="C145" s="177" t="s">
        <v>6</v>
      </c>
      <c r="D145" s="178" t="s">
        <v>7</v>
      </c>
      <c r="E145" s="285" t="s">
        <v>8</v>
      </c>
      <c r="F145" s="179" t="s">
        <v>9</v>
      </c>
    </row>
    <row r="146" spans="1:8" x14ac:dyDescent="0.2">
      <c r="A146" s="30"/>
      <c r="B146" s="172"/>
      <c r="E146" s="262"/>
      <c r="F146" s="34"/>
    </row>
    <row r="147" spans="1:8" ht="51" x14ac:dyDescent="0.2">
      <c r="A147" s="30" t="s">
        <v>11</v>
      </c>
      <c r="B147" s="183" t="s">
        <v>434</v>
      </c>
      <c r="E147" s="262"/>
      <c r="F147" s="34"/>
    </row>
    <row r="148" spans="1:8" ht="25.5" x14ac:dyDescent="0.2">
      <c r="A148" s="30"/>
      <c r="B148" s="14" t="s">
        <v>22</v>
      </c>
      <c r="E148" s="262"/>
      <c r="F148" s="34"/>
    </row>
    <row r="149" spans="1:8" ht="38.25" x14ac:dyDescent="0.2">
      <c r="A149" s="30" t="s">
        <v>12</v>
      </c>
      <c r="B149" s="8" t="s">
        <v>459</v>
      </c>
      <c r="C149" s="37" t="s">
        <v>432</v>
      </c>
      <c r="D149" s="33">
        <v>5</v>
      </c>
      <c r="E149" s="262"/>
      <c r="F149" s="304">
        <f t="shared" ref="F149:F174" si="3">ROUND(D149*E149,2)</f>
        <v>0</v>
      </c>
    </row>
    <row r="150" spans="1:8" ht="41.25" customHeight="1" x14ac:dyDescent="0.2">
      <c r="A150" s="30" t="s">
        <v>15</v>
      </c>
      <c r="B150" s="8" t="s">
        <v>460</v>
      </c>
      <c r="C150" s="37" t="s">
        <v>87</v>
      </c>
      <c r="D150" s="33">
        <v>0.15</v>
      </c>
      <c r="E150" s="262"/>
      <c r="F150" s="304">
        <f t="shared" si="3"/>
        <v>0</v>
      </c>
      <c r="H150" s="40">
        <f>2*2.1*0.14*0.18</f>
        <v>0.10584</v>
      </c>
    </row>
    <row r="151" spans="1:8" ht="14.25" customHeight="1" x14ac:dyDescent="0.2">
      <c r="A151" s="30"/>
      <c r="B151" s="8"/>
      <c r="E151" s="262"/>
      <c r="F151" s="304"/>
    </row>
    <row r="152" spans="1:8" ht="55.5" customHeight="1" x14ac:dyDescent="0.2">
      <c r="A152" s="30" t="s">
        <v>31</v>
      </c>
      <c r="B152" s="183" t="s">
        <v>434</v>
      </c>
      <c r="E152" s="262"/>
      <c r="F152" s="304"/>
    </row>
    <row r="153" spans="1:8" ht="27" customHeight="1" x14ac:dyDescent="0.2">
      <c r="A153" s="30"/>
      <c r="B153" s="14" t="s">
        <v>24</v>
      </c>
      <c r="E153" s="262"/>
      <c r="F153" s="304"/>
    </row>
    <row r="154" spans="1:8" ht="51" x14ac:dyDescent="0.2">
      <c r="A154" s="30" t="s">
        <v>33</v>
      </c>
      <c r="B154" s="8" t="s">
        <v>461</v>
      </c>
      <c r="C154" s="37" t="s">
        <v>432</v>
      </c>
      <c r="D154" s="33">
        <v>30</v>
      </c>
      <c r="E154" s="262"/>
      <c r="F154" s="304">
        <f t="shared" si="3"/>
        <v>0</v>
      </c>
    </row>
    <row r="155" spans="1:8" ht="37.5" customHeight="1" x14ac:dyDescent="0.2">
      <c r="A155" s="30" t="s">
        <v>35</v>
      </c>
      <c r="B155" s="8" t="s">
        <v>462</v>
      </c>
      <c r="C155" s="37" t="s">
        <v>87</v>
      </c>
      <c r="D155" s="33">
        <v>2</v>
      </c>
      <c r="E155" s="262"/>
      <c r="F155" s="304">
        <f t="shared" si="3"/>
        <v>0</v>
      </c>
      <c r="H155" s="40">
        <f>5*3.35*0.14*0.18</f>
        <v>0.42210000000000003</v>
      </c>
    </row>
    <row r="156" spans="1:8" ht="78.75" customHeight="1" x14ac:dyDescent="0.2">
      <c r="A156" s="30" t="s">
        <v>37</v>
      </c>
      <c r="B156" s="8" t="s">
        <v>463</v>
      </c>
      <c r="C156" s="37" t="s">
        <v>87</v>
      </c>
      <c r="D156" s="33">
        <v>2</v>
      </c>
      <c r="E156" s="262"/>
      <c r="F156" s="304">
        <f t="shared" si="3"/>
        <v>0</v>
      </c>
    </row>
    <row r="157" spans="1:8" x14ac:dyDescent="0.2">
      <c r="A157" s="30"/>
      <c r="B157" s="8"/>
      <c r="E157" s="262"/>
      <c r="F157" s="304"/>
    </row>
    <row r="158" spans="1:8" ht="51" x14ac:dyDescent="0.2">
      <c r="A158" s="30" t="s">
        <v>44</v>
      </c>
      <c r="B158" s="183" t="s">
        <v>434</v>
      </c>
      <c r="E158" s="262"/>
      <c r="F158" s="304"/>
    </row>
    <row r="159" spans="1:8" ht="25.5" x14ac:dyDescent="0.2">
      <c r="A159" s="30"/>
      <c r="B159" s="14" t="s">
        <v>26</v>
      </c>
      <c r="E159" s="262"/>
      <c r="F159" s="304"/>
    </row>
    <row r="160" spans="1:8" ht="51" x14ac:dyDescent="0.2">
      <c r="A160" s="30" t="s">
        <v>46</v>
      </c>
      <c r="B160" s="8" t="s">
        <v>464</v>
      </c>
      <c r="C160" s="37" t="s">
        <v>432</v>
      </c>
      <c r="D160" s="33">
        <v>30</v>
      </c>
      <c r="E160" s="262"/>
      <c r="F160" s="304">
        <f t="shared" si="3"/>
        <v>0</v>
      </c>
    </row>
    <row r="161" spans="1:6" ht="41.25" customHeight="1" x14ac:dyDescent="0.2">
      <c r="A161" s="30" t="s">
        <v>49</v>
      </c>
      <c r="B161" s="8" t="s">
        <v>465</v>
      </c>
      <c r="C161" s="37" t="s">
        <v>87</v>
      </c>
      <c r="D161" s="33">
        <v>2</v>
      </c>
      <c r="E161" s="262"/>
      <c r="F161" s="304">
        <f t="shared" si="3"/>
        <v>0</v>
      </c>
    </row>
    <row r="162" spans="1:6" ht="78" x14ac:dyDescent="0.2">
      <c r="A162" s="30" t="s">
        <v>238</v>
      </c>
      <c r="B162" s="8" t="s">
        <v>466</v>
      </c>
      <c r="C162" s="37" t="s">
        <v>87</v>
      </c>
      <c r="D162" s="33">
        <v>2</v>
      </c>
      <c r="E162" s="262"/>
      <c r="F162" s="304">
        <f t="shared" si="3"/>
        <v>0</v>
      </c>
    </row>
    <row r="163" spans="1:6" x14ac:dyDescent="0.2">
      <c r="A163" s="30"/>
      <c r="B163" s="8"/>
      <c r="E163" s="262"/>
      <c r="F163" s="304"/>
    </row>
    <row r="164" spans="1:6" ht="51" x14ac:dyDescent="0.2">
      <c r="A164" s="30" t="s">
        <v>246</v>
      </c>
      <c r="B164" s="183" t="s">
        <v>434</v>
      </c>
      <c r="E164" s="262"/>
      <c r="F164" s="304"/>
    </row>
    <row r="165" spans="1:6" ht="25.5" x14ac:dyDescent="0.2">
      <c r="A165" s="30"/>
      <c r="B165" s="14" t="s">
        <v>28</v>
      </c>
      <c r="E165" s="262"/>
      <c r="F165" s="304"/>
    </row>
    <row r="166" spans="1:6" ht="51" x14ac:dyDescent="0.2">
      <c r="A166" s="30" t="s">
        <v>52</v>
      </c>
      <c r="B166" s="8" t="s">
        <v>467</v>
      </c>
      <c r="C166" s="37" t="s">
        <v>432</v>
      </c>
      <c r="D166" s="33">
        <v>30</v>
      </c>
      <c r="E166" s="262"/>
      <c r="F166" s="304">
        <f t="shared" si="3"/>
        <v>0</v>
      </c>
    </row>
    <row r="167" spans="1:6" ht="40.5" customHeight="1" x14ac:dyDescent="0.2">
      <c r="A167" s="30" t="s">
        <v>54</v>
      </c>
      <c r="B167" s="8" t="s">
        <v>468</v>
      </c>
      <c r="C167" s="37" t="s">
        <v>87</v>
      </c>
      <c r="D167" s="33">
        <v>2</v>
      </c>
      <c r="E167" s="262"/>
      <c r="F167" s="304">
        <f t="shared" si="3"/>
        <v>0</v>
      </c>
    </row>
    <row r="168" spans="1:6" ht="53.25" customHeight="1" x14ac:dyDescent="0.2">
      <c r="A168" s="30" t="s">
        <v>56</v>
      </c>
      <c r="B168" s="8" t="s">
        <v>469</v>
      </c>
      <c r="C168" s="37" t="s">
        <v>87</v>
      </c>
      <c r="D168" s="33">
        <v>2</v>
      </c>
      <c r="E168" s="262"/>
      <c r="F168" s="304">
        <f t="shared" si="3"/>
        <v>0</v>
      </c>
    </row>
    <row r="169" spans="1:6" x14ac:dyDescent="0.2">
      <c r="A169" s="30"/>
      <c r="B169" s="8"/>
      <c r="E169" s="262"/>
      <c r="F169" s="304"/>
    </row>
    <row r="170" spans="1:6" ht="51" x14ac:dyDescent="0.2">
      <c r="A170" s="30" t="s">
        <v>59</v>
      </c>
      <c r="B170" s="183" t="s">
        <v>434</v>
      </c>
      <c r="E170" s="262"/>
      <c r="F170" s="304"/>
    </row>
    <row r="171" spans="1:6" ht="25.5" x14ac:dyDescent="0.2">
      <c r="A171" s="30"/>
      <c r="B171" s="14" t="s">
        <v>30</v>
      </c>
      <c r="E171" s="262"/>
      <c r="F171" s="304"/>
    </row>
    <row r="172" spans="1:6" ht="38.25" x14ac:dyDescent="0.2">
      <c r="A172" s="30" t="s">
        <v>266</v>
      </c>
      <c r="B172" s="8" t="s">
        <v>470</v>
      </c>
      <c r="C172" s="37" t="s">
        <v>432</v>
      </c>
      <c r="D172" s="33">
        <v>30</v>
      </c>
      <c r="E172" s="262"/>
      <c r="F172" s="304">
        <f t="shared" si="3"/>
        <v>0</v>
      </c>
    </row>
    <row r="173" spans="1:6" ht="39.75" customHeight="1" x14ac:dyDescent="0.2">
      <c r="A173" s="30" t="s">
        <v>267</v>
      </c>
      <c r="B173" s="8" t="s">
        <v>471</v>
      </c>
      <c r="C173" s="37" t="s">
        <v>87</v>
      </c>
      <c r="D173" s="33">
        <v>2</v>
      </c>
      <c r="E173" s="262"/>
      <c r="F173" s="304">
        <f t="shared" si="3"/>
        <v>0</v>
      </c>
    </row>
    <row r="174" spans="1:6" ht="66" customHeight="1" x14ac:dyDescent="0.2">
      <c r="A174" s="30" t="s">
        <v>268</v>
      </c>
      <c r="B174" s="8" t="s">
        <v>472</v>
      </c>
      <c r="C174" s="37" t="s">
        <v>87</v>
      </c>
      <c r="D174" s="33">
        <v>2</v>
      </c>
      <c r="E174" s="262"/>
      <c r="F174" s="304">
        <f t="shared" si="3"/>
        <v>0</v>
      </c>
    </row>
    <row r="175" spans="1:6" x14ac:dyDescent="0.2">
      <c r="B175" s="195"/>
      <c r="C175" s="196"/>
      <c r="D175" s="197"/>
      <c r="E175" s="288"/>
      <c r="F175" s="198"/>
    </row>
    <row r="176" spans="1:6" x14ac:dyDescent="0.2">
      <c r="A176" s="185"/>
      <c r="B176" s="199" t="s">
        <v>489</v>
      </c>
      <c r="C176" s="200"/>
      <c r="D176" s="201"/>
      <c r="E176" s="284"/>
      <c r="F176" s="189">
        <f>ROUND(SUM(F148:F174),2)</f>
        <v>0</v>
      </c>
    </row>
    <row r="177" spans="1:6" x14ac:dyDescent="0.2">
      <c r="A177" s="30"/>
      <c r="B177" s="202"/>
      <c r="C177" s="196"/>
      <c r="D177" s="197"/>
      <c r="E177" s="262"/>
      <c r="F177" s="34"/>
    </row>
    <row r="178" spans="1:6" x14ac:dyDescent="0.2">
      <c r="A178" s="30"/>
      <c r="B178" s="202"/>
      <c r="C178" s="196"/>
      <c r="D178" s="197"/>
      <c r="E178" s="262"/>
      <c r="F178" s="34"/>
    </row>
    <row r="179" spans="1:6" x14ac:dyDescent="0.2">
      <c r="A179" s="30"/>
      <c r="B179" s="202"/>
      <c r="C179" s="196"/>
      <c r="D179" s="197"/>
      <c r="E179" s="262"/>
      <c r="F179" s="34"/>
    </row>
    <row r="180" spans="1:6" x14ac:dyDescent="0.2">
      <c r="A180" s="30"/>
      <c r="B180" s="202"/>
      <c r="C180" s="196"/>
      <c r="D180" s="197"/>
      <c r="E180" s="262"/>
      <c r="F180" s="34"/>
    </row>
    <row r="181" spans="1:6" x14ac:dyDescent="0.2">
      <c r="A181" s="30"/>
      <c r="B181" s="202"/>
      <c r="C181" s="196"/>
      <c r="D181" s="197"/>
      <c r="E181" s="262"/>
      <c r="F181" s="34"/>
    </row>
    <row r="182" spans="1:6" x14ac:dyDescent="0.2">
      <c r="A182" s="30"/>
      <c r="B182" s="202"/>
      <c r="C182" s="196"/>
      <c r="D182" s="197"/>
      <c r="E182" s="262"/>
      <c r="F182" s="34"/>
    </row>
    <row r="183" spans="1:6" x14ac:dyDescent="0.2">
      <c r="A183" s="30"/>
      <c r="B183" s="202"/>
      <c r="C183" s="196"/>
      <c r="D183" s="197"/>
      <c r="E183" s="262"/>
      <c r="F183" s="34"/>
    </row>
    <row r="184" spans="1:6" x14ac:dyDescent="0.2">
      <c r="A184" s="30"/>
      <c r="B184" s="202"/>
      <c r="C184" s="196"/>
      <c r="D184" s="197"/>
      <c r="E184" s="262"/>
      <c r="F184" s="34"/>
    </row>
    <row r="185" spans="1:6" x14ac:dyDescent="0.2">
      <c r="A185" s="30"/>
      <c r="B185" s="202"/>
      <c r="C185" s="196"/>
      <c r="D185" s="197"/>
      <c r="E185" s="262"/>
      <c r="F185" s="34"/>
    </row>
    <row r="186" spans="1:6" x14ac:dyDescent="0.2">
      <c r="A186" s="30"/>
      <c r="B186" s="202"/>
      <c r="C186" s="196"/>
      <c r="D186" s="197"/>
      <c r="E186" s="262"/>
      <c r="F186" s="34"/>
    </row>
    <row r="187" spans="1:6" x14ac:dyDescent="0.2">
      <c r="A187" s="30"/>
      <c r="B187" s="202"/>
      <c r="C187" s="196"/>
      <c r="D187" s="197"/>
      <c r="E187" s="262"/>
      <c r="F187" s="34"/>
    </row>
    <row r="188" spans="1:6" ht="25.5" x14ac:dyDescent="0.2">
      <c r="A188" s="175" t="s">
        <v>383</v>
      </c>
      <c r="B188" s="203" t="s">
        <v>490</v>
      </c>
      <c r="C188" s="204" t="s">
        <v>6</v>
      </c>
      <c r="D188" s="205" t="s">
        <v>7</v>
      </c>
      <c r="E188" s="289" t="s">
        <v>8</v>
      </c>
      <c r="F188" s="206" t="s">
        <v>9</v>
      </c>
    </row>
    <row r="189" spans="1:6" x14ac:dyDescent="0.2">
      <c r="A189" s="207"/>
      <c r="B189" s="208"/>
      <c r="C189" s="209"/>
      <c r="D189" s="112"/>
      <c r="E189" s="270"/>
      <c r="F189" s="85"/>
    </row>
    <row r="190" spans="1:6" ht="118.5" customHeight="1" x14ac:dyDescent="0.2">
      <c r="A190" s="81" t="s">
        <v>11</v>
      </c>
      <c r="B190" s="210" t="s">
        <v>473</v>
      </c>
      <c r="C190" s="88"/>
      <c r="D190" s="88"/>
      <c r="E190" s="270"/>
      <c r="F190" s="85"/>
    </row>
    <row r="191" spans="1:6" ht="11.25" customHeight="1" x14ac:dyDescent="0.2">
      <c r="A191" s="81"/>
      <c r="B191" s="210"/>
      <c r="C191" s="88"/>
      <c r="D191" s="88"/>
      <c r="E191" s="270"/>
      <c r="F191" s="85"/>
    </row>
    <row r="192" spans="1:6" x14ac:dyDescent="0.2">
      <c r="A192" s="1"/>
      <c r="B192" s="8" t="s">
        <v>474</v>
      </c>
      <c r="C192" s="3"/>
      <c r="D192" s="18"/>
      <c r="E192" s="270"/>
      <c r="F192" s="85"/>
    </row>
    <row r="193" spans="1:6" ht="14.25" x14ac:dyDescent="0.2">
      <c r="A193" s="1" t="s">
        <v>12</v>
      </c>
      <c r="B193" s="28" t="s">
        <v>100</v>
      </c>
      <c r="C193" s="3" t="s">
        <v>48</v>
      </c>
      <c r="D193" s="18">
        <f>17.35*4.45</f>
        <v>77.20750000000001</v>
      </c>
      <c r="E193" s="270"/>
      <c r="F193" s="304">
        <f t="shared" ref="F193:F203" si="4">ROUND(D193*E193,2)</f>
        <v>0</v>
      </c>
    </row>
    <row r="194" spans="1:6" ht="14.25" x14ac:dyDescent="0.2">
      <c r="A194" s="1" t="s">
        <v>15</v>
      </c>
      <c r="B194" s="28" t="s">
        <v>111</v>
      </c>
      <c r="C194" s="3" t="s">
        <v>48</v>
      </c>
      <c r="D194" s="18">
        <f>17.35*2.8</f>
        <v>48.58</v>
      </c>
      <c r="E194" s="270"/>
      <c r="F194" s="304">
        <f t="shared" si="4"/>
        <v>0</v>
      </c>
    </row>
    <row r="195" spans="1:6" ht="14.25" x14ac:dyDescent="0.2">
      <c r="A195" s="1" t="s">
        <v>17</v>
      </c>
      <c r="B195" s="28" t="s">
        <v>106</v>
      </c>
      <c r="C195" s="3" t="s">
        <v>48</v>
      </c>
      <c r="D195" s="18">
        <f>17.35*4.45</f>
        <v>77.20750000000001</v>
      </c>
      <c r="E195" s="270"/>
      <c r="F195" s="304">
        <f t="shared" si="4"/>
        <v>0</v>
      </c>
    </row>
    <row r="196" spans="1:6" x14ac:dyDescent="0.2">
      <c r="A196" s="81"/>
      <c r="B196" s="211"/>
      <c r="C196" s="209"/>
      <c r="D196" s="112"/>
      <c r="E196" s="270"/>
      <c r="F196" s="304"/>
    </row>
    <row r="197" spans="1:6" ht="76.5" x14ac:dyDescent="0.2">
      <c r="A197" s="1" t="s">
        <v>19</v>
      </c>
      <c r="B197" s="20" t="s">
        <v>475</v>
      </c>
      <c r="C197" s="3" t="s">
        <v>48</v>
      </c>
      <c r="D197" s="18">
        <f>0.1*380</f>
        <v>38</v>
      </c>
      <c r="E197" s="270"/>
      <c r="F197" s="304">
        <f t="shared" si="4"/>
        <v>0</v>
      </c>
    </row>
    <row r="198" spans="1:6" ht="76.5" x14ac:dyDescent="0.2">
      <c r="A198" s="1" t="s">
        <v>21</v>
      </c>
      <c r="B198" s="20" t="s">
        <v>476</v>
      </c>
      <c r="C198" s="3" t="s">
        <v>48</v>
      </c>
      <c r="D198" s="18">
        <f>0.1*380</f>
        <v>38</v>
      </c>
      <c r="E198" s="270"/>
      <c r="F198" s="304">
        <f t="shared" si="4"/>
        <v>0</v>
      </c>
    </row>
    <row r="199" spans="1:6" ht="76.5" x14ac:dyDescent="0.2">
      <c r="A199" s="1" t="s">
        <v>23</v>
      </c>
      <c r="B199" s="20" t="s">
        <v>477</v>
      </c>
      <c r="C199" s="3" t="s">
        <v>48</v>
      </c>
      <c r="D199" s="18">
        <f>0.1*380</f>
        <v>38</v>
      </c>
      <c r="E199" s="270"/>
      <c r="F199" s="304">
        <f t="shared" si="4"/>
        <v>0</v>
      </c>
    </row>
    <row r="200" spans="1:6" ht="76.5" x14ac:dyDescent="0.2">
      <c r="A200" s="1" t="s">
        <v>25</v>
      </c>
      <c r="B200" s="20" t="s">
        <v>478</v>
      </c>
      <c r="C200" s="3" t="s">
        <v>48</v>
      </c>
      <c r="D200" s="18">
        <f>0.1*380</f>
        <v>38</v>
      </c>
      <c r="E200" s="270"/>
      <c r="F200" s="304">
        <f t="shared" si="4"/>
        <v>0</v>
      </c>
    </row>
    <row r="201" spans="1:6" x14ac:dyDescent="0.2">
      <c r="A201" s="81"/>
      <c r="B201" s="211"/>
      <c r="C201" s="209"/>
      <c r="D201" s="112"/>
      <c r="E201" s="270"/>
      <c r="F201" s="304"/>
    </row>
    <row r="202" spans="1:6" ht="14.25" x14ac:dyDescent="0.2">
      <c r="A202" s="81" t="s">
        <v>27</v>
      </c>
      <c r="B202" s="211" t="s">
        <v>479</v>
      </c>
      <c r="C202" s="3" t="s">
        <v>48</v>
      </c>
      <c r="D202" s="18">
        <v>20</v>
      </c>
      <c r="E202" s="270"/>
      <c r="F202" s="304">
        <f t="shared" si="4"/>
        <v>0</v>
      </c>
    </row>
    <row r="203" spans="1:6" ht="14.25" x14ac:dyDescent="0.2">
      <c r="A203" s="81" t="s">
        <v>29</v>
      </c>
      <c r="B203" s="44" t="s">
        <v>411</v>
      </c>
      <c r="C203" s="3" t="s">
        <v>48</v>
      </c>
      <c r="D203" s="43">
        <v>150</v>
      </c>
      <c r="E203" s="270"/>
      <c r="F203" s="304">
        <f t="shared" si="4"/>
        <v>0</v>
      </c>
    </row>
    <row r="204" spans="1:6" x14ac:dyDescent="0.2">
      <c r="A204" s="81"/>
      <c r="B204" s="211"/>
      <c r="C204" s="209"/>
      <c r="D204" s="112"/>
      <c r="E204" s="270"/>
      <c r="F204" s="85"/>
    </row>
    <row r="205" spans="1:6" x14ac:dyDescent="0.2">
      <c r="A205" s="102"/>
      <c r="B205" s="212"/>
      <c r="C205" s="88"/>
      <c r="D205" s="88"/>
      <c r="E205" s="270"/>
      <c r="F205" s="85"/>
    </row>
    <row r="206" spans="1:6" ht="25.5" x14ac:dyDescent="0.2">
      <c r="A206" s="213"/>
      <c r="B206" s="214" t="s">
        <v>490</v>
      </c>
      <c r="C206" s="215"/>
      <c r="D206" s="216"/>
      <c r="E206" s="290"/>
      <c r="F206" s="217">
        <f>ROUND(SUM(F193:F203),2)</f>
        <v>0</v>
      </c>
    </row>
    <row r="207" spans="1:6" x14ac:dyDescent="0.2">
      <c r="A207" s="30"/>
      <c r="B207" s="202"/>
      <c r="C207" s="196"/>
      <c r="D207" s="197"/>
      <c r="E207" s="262"/>
      <c r="F207" s="34"/>
    </row>
    <row r="208" spans="1:6" x14ac:dyDescent="0.2">
      <c r="A208" s="30"/>
      <c r="B208" s="202"/>
      <c r="C208" s="196"/>
      <c r="D208" s="197"/>
      <c r="E208" s="262"/>
      <c r="F208" s="34"/>
    </row>
    <row r="209" spans="1:6" x14ac:dyDescent="0.2">
      <c r="A209" s="30"/>
      <c r="B209" s="202"/>
      <c r="C209" s="196"/>
      <c r="D209" s="197"/>
      <c r="E209" s="262"/>
      <c r="F209" s="34"/>
    </row>
    <row r="210" spans="1:6" x14ac:dyDescent="0.2">
      <c r="A210" s="30"/>
      <c r="B210" s="202"/>
      <c r="C210" s="196"/>
      <c r="D210" s="197"/>
      <c r="E210" s="262"/>
      <c r="F210" s="34"/>
    </row>
    <row r="211" spans="1:6" x14ac:dyDescent="0.2">
      <c r="A211" s="30"/>
      <c r="B211" s="202"/>
      <c r="C211" s="196"/>
      <c r="D211" s="197"/>
      <c r="E211" s="262"/>
      <c r="F211" s="34"/>
    </row>
    <row r="212" spans="1:6" customFormat="1" ht="25.5" x14ac:dyDescent="0.2">
      <c r="A212" s="146" t="s">
        <v>390</v>
      </c>
      <c r="B212" s="128" t="s">
        <v>494</v>
      </c>
      <c r="C212" s="129" t="s">
        <v>6</v>
      </c>
      <c r="D212" s="130" t="s">
        <v>7</v>
      </c>
      <c r="E212" s="278" t="s">
        <v>8</v>
      </c>
      <c r="F212" s="132" t="s">
        <v>9</v>
      </c>
    </row>
    <row r="213" spans="1:6" customFormat="1" x14ac:dyDescent="0.2">
      <c r="A213" s="1"/>
      <c r="B213" s="147"/>
      <c r="C213" s="21"/>
      <c r="D213" s="134"/>
      <c r="E213" s="279"/>
      <c r="F213" s="19"/>
    </row>
    <row r="214" spans="1:6" customFormat="1" ht="38.25" x14ac:dyDescent="0.2">
      <c r="A214" s="1"/>
      <c r="B214" s="45" t="s">
        <v>144</v>
      </c>
      <c r="C214" s="21"/>
      <c r="D214" s="134"/>
      <c r="E214" s="279"/>
      <c r="F214" s="19"/>
    </row>
    <row r="215" spans="1:6" s="62" customFormat="1" ht="111.75" customHeight="1" x14ac:dyDescent="0.2">
      <c r="A215" s="317" t="s">
        <v>11</v>
      </c>
      <c r="B215" s="20" t="s">
        <v>495</v>
      </c>
      <c r="C215" s="21"/>
      <c r="D215" s="134"/>
      <c r="E215" s="279"/>
      <c r="F215" s="19"/>
    </row>
    <row r="216" spans="1:6" s="62" customFormat="1" ht="14.25" x14ac:dyDescent="0.2">
      <c r="A216" s="317"/>
      <c r="B216" s="319" t="s">
        <v>395</v>
      </c>
      <c r="C216" s="3" t="s">
        <v>48</v>
      </c>
      <c r="D216" s="50">
        <v>170</v>
      </c>
      <c r="E216" s="261"/>
      <c r="F216" s="19">
        <f>D216*E216</f>
        <v>0</v>
      </c>
    </row>
    <row r="217" spans="1:6" s="62" customFormat="1" ht="14.25" x14ac:dyDescent="0.2">
      <c r="A217" s="317"/>
      <c r="B217" s="319" t="s">
        <v>396</v>
      </c>
      <c r="C217" s="3" t="s">
        <v>48</v>
      </c>
      <c r="D217" s="50">
        <v>170</v>
      </c>
      <c r="E217" s="261"/>
      <c r="F217" s="19">
        <f t="shared" ref="F217:F219" si="5">D217*E217</f>
        <v>0</v>
      </c>
    </row>
    <row r="218" spans="1:6" s="62" customFormat="1" ht="14.25" x14ac:dyDescent="0.2">
      <c r="A218" s="317"/>
      <c r="B218" s="319" t="s">
        <v>397</v>
      </c>
      <c r="C218" s="3" t="s">
        <v>48</v>
      </c>
      <c r="D218" s="50">
        <v>150</v>
      </c>
      <c r="E218" s="261"/>
      <c r="F218" s="19">
        <f t="shared" si="5"/>
        <v>0</v>
      </c>
    </row>
    <row r="219" spans="1:6" s="62" customFormat="1" ht="14.25" x14ac:dyDescent="0.2">
      <c r="A219" s="317"/>
      <c r="B219" s="319" t="s">
        <v>398</v>
      </c>
      <c r="C219" s="3" t="s">
        <v>48</v>
      </c>
      <c r="D219" s="50">
        <v>150</v>
      </c>
      <c r="E219" s="261"/>
      <c r="F219" s="19">
        <f t="shared" si="5"/>
        <v>0</v>
      </c>
    </row>
    <row r="220" spans="1:6" s="62" customFormat="1" ht="14.25" customHeight="1" x14ac:dyDescent="0.2">
      <c r="A220" s="317"/>
      <c r="B220" s="59" t="s">
        <v>492</v>
      </c>
      <c r="C220" s="3"/>
      <c r="D220" s="18"/>
      <c r="E220" s="261"/>
      <c r="F220" s="19"/>
    </row>
    <row r="221" spans="1:6" x14ac:dyDescent="0.2">
      <c r="A221" s="30"/>
      <c r="B221" s="202"/>
      <c r="C221" s="196"/>
      <c r="D221" s="197"/>
      <c r="E221" s="33"/>
      <c r="F221" s="34"/>
    </row>
    <row r="222" spans="1:6" customFormat="1" ht="25.5" x14ac:dyDescent="0.2">
      <c r="A222" s="142"/>
      <c r="B222" s="148" t="s">
        <v>493</v>
      </c>
      <c r="C222" s="129"/>
      <c r="D222" s="130"/>
      <c r="E222" s="131"/>
      <c r="F222" s="132">
        <f>SUM(F216:F220)</f>
        <v>0</v>
      </c>
    </row>
    <row r="223" spans="1:6" x14ac:dyDescent="0.2">
      <c r="A223" s="30"/>
      <c r="B223" s="202"/>
      <c r="C223" s="196"/>
      <c r="D223" s="197"/>
      <c r="E223" s="33"/>
      <c r="F223" s="34"/>
    </row>
    <row r="224" spans="1:6" x14ac:dyDescent="0.2">
      <c r="A224" s="30"/>
      <c r="B224" s="202"/>
      <c r="C224" s="196"/>
      <c r="D224" s="197"/>
      <c r="E224" s="33"/>
      <c r="F224" s="34"/>
    </row>
    <row r="225" spans="1:6" x14ac:dyDescent="0.2">
      <c r="A225" s="30"/>
      <c r="B225" s="202"/>
      <c r="C225" s="196"/>
      <c r="D225" s="197"/>
      <c r="E225" s="33"/>
      <c r="F225" s="34"/>
    </row>
    <row r="226" spans="1:6" x14ac:dyDescent="0.2">
      <c r="A226" s="30"/>
      <c r="B226" s="202"/>
      <c r="C226" s="196"/>
      <c r="D226" s="197"/>
      <c r="E226" s="33"/>
      <c r="F226" s="34"/>
    </row>
    <row r="227" spans="1:6" x14ac:dyDescent="0.2">
      <c r="A227" s="30"/>
      <c r="B227" s="202"/>
      <c r="C227" s="196"/>
      <c r="D227" s="197"/>
      <c r="E227" s="33"/>
      <c r="F227" s="34"/>
    </row>
    <row r="228" spans="1:6" x14ac:dyDescent="0.2">
      <c r="A228" s="30"/>
      <c r="B228" s="202"/>
      <c r="C228" s="196"/>
      <c r="D228" s="197"/>
      <c r="E228" s="33"/>
      <c r="F228" s="34"/>
    </row>
    <row r="229" spans="1:6" x14ac:dyDescent="0.2">
      <c r="A229" s="30"/>
      <c r="B229" s="202"/>
      <c r="C229" s="196"/>
      <c r="D229" s="197"/>
      <c r="E229" s="33"/>
      <c r="F229" s="34"/>
    </row>
    <row r="230" spans="1:6" x14ac:dyDescent="0.2">
      <c r="A230" s="30"/>
      <c r="B230" s="202"/>
      <c r="C230" s="196"/>
      <c r="D230" s="197"/>
      <c r="E230" s="33"/>
      <c r="F230" s="34"/>
    </row>
    <row r="231" spans="1:6" ht="25.5" x14ac:dyDescent="0.2">
      <c r="A231" s="218"/>
      <c r="B231" s="186" t="s">
        <v>491</v>
      </c>
      <c r="C231" s="330"/>
      <c r="D231" s="330"/>
      <c r="E231" s="330"/>
      <c r="F231" s="330"/>
    </row>
    <row r="232" spans="1:6" x14ac:dyDescent="0.2">
      <c r="A232" s="181"/>
      <c r="B232" s="182"/>
      <c r="E232" s="33"/>
      <c r="F232" s="34"/>
    </row>
    <row r="233" spans="1:6" x14ac:dyDescent="0.2">
      <c r="A233" s="181" t="s">
        <v>4</v>
      </c>
      <c r="B233" s="219" t="s">
        <v>424</v>
      </c>
      <c r="C233" s="220"/>
      <c r="D233" s="221"/>
      <c r="E233" s="221"/>
      <c r="F233" s="222">
        <f>F21</f>
        <v>0</v>
      </c>
    </row>
    <row r="234" spans="1:6" x14ac:dyDescent="0.2">
      <c r="A234" s="181"/>
      <c r="B234" s="182"/>
      <c r="E234" s="33"/>
      <c r="F234" s="34"/>
    </row>
    <row r="235" spans="1:6" x14ac:dyDescent="0.2">
      <c r="A235" s="181" t="s">
        <v>231</v>
      </c>
      <c r="B235" s="219" t="s">
        <v>252</v>
      </c>
      <c r="C235" s="220"/>
      <c r="D235" s="223"/>
      <c r="E235" s="221"/>
      <c r="F235" s="222">
        <f>F48</f>
        <v>0</v>
      </c>
    </row>
    <row r="236" spans="1:6" x14ac:dyDescent="0.2">
      <c r="A236" s="181"/>
      <c r="B236" s="182"/>
      <c r="D236" s="224"/>
      <c r="E236" s="33"/>
      <c r="F236" s="34"/>
    </row>
    <row r="237" spans="1:6" x14ac:dyDescent="0.2">
      <c r="A237" s="181" t="s">
        <v>251</v>
      </c>
      <c r="B237" s="219" t="s">
        <v>322</v>
      </c>
      <c r="C237" s="220"/>
      <c r="D237" s="223"/>
      <c r="E237" s="221"/>
      <c r="F237" s="222">
        <f>F100</f>
        <v>0</v>
      </c>
    </row>
    <row r="238" spans="1:6" x14ac:dyDescent="0.2">
      <c r="A238" s="181"/>
      <c r="B238" s="182"/>
      <c r="E238" s="33"/>
      <c r="F238" s="34"/>
    </row>
    <row r="239" spans="1:6" x14ac:dyDescent="0.2">
      <c r="A239" s="181" t="s">
        <v>321</v>
      </c>
      <c r="B239" s="219" t="s">
        <v>480</v>
      </c>
      <c r="C239" s="220"/>
      <c r="D239" s="223"/>
      <c r="E239" s="221"/>
      <c r="F239" s="222">
        <f>F176</f>
        <v>0</v>
      </c>
    </row>
    <row r="240" spans="1:6" x14ac:dyDescent="0.2">
      <c r="A240" s="181"/>
      <c r="B240" s="182"/>
      <c r="E240" s="33"/>
      <c r="F240" s="34"/>
    </row>
    <row r="241" spans="1:6" x14ac:dyDescent="0.2">
      <c r="A241" s="181" t="s">
        <v>321</v>
      </c>
      <c r="B241" s="219" t="s">
        <v>481</v>
      </c>
      <c r="C241" s="220"/>
      <c r="D241" s="223"/>
      <c r="E241" s="221"/>
      <c r="F241" s="222">
        <f>F206</f>
        <v>0</v>
      </c>
    </row>
    <row r="242" spans="1:6" x14ac:dyDescent="0.2">
      <c r="A242" s="181"/>
      <c r="B242" s="257"/>
      <c r="C242" s="253"/>
      <c r="D242" s="254"/>
      <c r="E242" s="255"/>
      <c r="F242" s="256"/>
    </row>
    <row r="243" spans="1:6" ht="13.5" thickBot="1" x14ac:dyDescent="0.25">
      <c r="A243" s="225" t="s">
        <v>383</v>
      </c>
      <c r="B243" s="258" t="s">
        <v>403</v>
      </c>
      <c r="C243" s="226"/>
      <c r="D243" s="227"/>
      <c r="E243" s="228"/>
      <c r="F243" s="229">
        <f>F222</f>
        <v>0</v>
      </c>
    </row>
    <row r="245" spans="1:6" x14ac:dyDescent="0.2">
      <c r="A245" s="181"/>
      <c r="B245" s="182"/>
      <c r="D245" s="224"/>
      <c r="E245" s="33"/>
      <c r="F245" s="34"/>
    </row>
    <row r="246" spans="1:6" x14ac:dyDescent="0.2">
      <c r="A246" s="30"/>
      <c r="B246" s="184"/>
      <c r="E246" s="33"/>
      <c r="F246" s="34"/>
    </row>
    <row r="247" spans="1:6" x14ac:dyDescent="0.2">
      <c r="A247" s="30"/>
      <c r="B247" s="219" t="s">
        <v>425</v>
      </c>
      <c r="C247" s="220"/>
      <c r="D247" s="221"/>
      <c r="E247" s="221"/>
      <c r="F247" s="230">
        <f>ROUND(SUM(F233:F243),2)</f>
        <v>0</v>
      </c>
    </row>
    <row r="248" spans="1:6" x14ac:dyDescent="0.2">
      <c r="A248" s="30"/>
      <c r="B248" s="172"/>
      <c r="E248" s="231"/>
      <c r="F248" s="154"/>
    </row>
    <row r="249" spans="1:6" x14ac:dyDescent="0.2">
      <c r="A249" s="30"/>
      <c r="B249" s="219" t="s">
        <v>426</v>
      </c>
      <c r="C249" s="232"/>
      <c r="D249" s="233"/>
      <c r="E249" s="234"/>
      <c r="F249" s="230">
        <f>ROUND(0.25*F247,2)</f>
        <v>0</v>
      </c>
    </row>
    <row r="250" spans="1:6" x14ac:dyDescent="0.2">
      <c r="A250" s="30"/>
      <c r="B250" s="172"/>
      <c r="E250" s="231"/>
      <c r="F250" s="154"/>
    </row>
    <row r="251" spans="1:6" x14ac:dyDescent="0.2">
      <c r="A251" s="30"/>
      <c r="B251" s="219" t="s">
        <v>427</v>
      </c>
      <c r="C251" s="232"/>
      <c r="D251" s="233"/>
      <c r="E251" s="234"/>
      <c r="F251" s="235">
        <f>ROUND(F247+F249,2)</f>
        <v>0</v>
      </c>
    </row>
    <row r="252" spans="1:6" x14ac:dyDescent="0.2">
      <c r="A252" s="30"/>
      <c r="B252" s="184"/>
      <c r="E252" s="231"/>
      <c r="F252" s="160"/>
    </row>
    <row r="253" spans="1:6" x14ac:dyDescent="0.2">
      <c r="A253" s="30"/>
      <c r="B253" s="184"/>
      <c r="E253" s="33"/>
      <c r="F253" s="34"/>
    </row>
    <row r="254" spans="1:6" x14ac:dyDescent="0.2">
      <c r="A254" s="30"/>
      <c r="B254" s="184"/>
      <c r="E254" s="33"/>
      <c r="F254" s="34"/>
    </row>
    <row r="255" spans="1:6" x14ac:dyDescent="0.2">
      <c r="A255" s="30"/>
      <c r="B255" s="184"/>
      <c r="E255" s="33"/>
      <c r="F255" s="34"/>
    </row>
    <row r="256" spans="1:6" x14ac:dyDescent="0.2">
      <c r="A256" s="30"/>
      <c r="B256" s="184"/>
      <c r="E256" s="33"/>
      <c r="F256" s="34"/>
    </row>
    <row r="257" spans="1:12" x14ac:dyDescent="0.2">
      <c r="A257" s="30"/>
      <c r="B257" s="184"/>
      <c r="E257" s="33"/>
      <c r="F257" s="34"/>
    </row>
    <row r="258" spans="1:12" x14ac:dyDescent="0.2">
      <c r="A258" s="30"/>
      <c r="B258" s="184"/>
      <c r="E258" s="33"/>
      <c r="F258" s="34"/>
    </row>
    <row r="259" spans="1:12" x14ac:dyDescent="0.2">
      <c r="A259" s="30"/>
      <c r="B259" s="184"/>
      <c r="E259" s="33"/>
      <c r="F259" s="34"/>
    </row>
    <row r="260" spans="1:12" x14ac:dyDescent="0.2">
      <c r="A260" s="30"/>
      <c r="B260" s="184"/>
      <c r="E260" s="33"/>
      <c r="F260" s="34"/>
    </row>
    <row r="261" spans="1:12" x14ac:dyDescent="0.2">
      <c r="A261" s="30"/>
      <c r="B261" s="236"/>
      <c r="E261" s="33"/>
      <c r="F261" s="34"/>
    </row>
    <row r="262" spans="1:12" x14ac:dyDescent="0.2">
      <c r="A262" s="30"/>
      <c r="B262" s="184"/>
      <c r="E262" s="33"/>
      <c r="F262" s="34"/>
    </row>
    <row r="263" spans="1:12" x14ac:dyDescent="0.2">
      <c r="A263" s="30"/>
      <c r="B263" s="184"/>
      <c r="E263" s="33"/>
      <c r="F263" s="34"/>
    </row>
    <row r="264" spans="1:12" x14ac:dyDescent="0.2">
      <c r="A264" s="30"/>
      <c r="B264" s="184"/>
      <c r="E264" s="33"/>
      <c r="F264" s="34"/>
    </row>
    <row r="265" spans="1:12" x14ac:dyDescent="0.2">
      <c r="A265" s="30"/>
      <c r="B265" s="184"/>
      <c r="E265" s="33"/>
      <c r="F265" s="34"/>
    </row>
    <row r="268" spans="1:12" x14ac:dyDescent="0.2">
      <c r="K268" s="237"/>
    </row>
    <row r="269" spans="1:12" x14ac:dyDescent="0.2">
      <c r="K269" s="237"/>
      <c r="L269" s="174"/>
    </row>
    <row r="273" spans="1:9" x14ac:dyDescent="0.2">
      <c r="A273" s="238"/>
      <c r="D273" s="37"/>
      <c r="F273" s="40"/>
      <c r="I273" s="239"/>
    </row>
    <row r="274" spans="1:9" x14ac:dyDescent="0.2">
      <c r="A274" s="30"/>
      <c r="B274" s="240"/>
      <c r="E274" s="33"/>
      <c r="F274" s="34"/>
    </row>
    <row r="275" spans="1:9" x14ac:dyDescent="0.2">
      <c r="A275" s="30"/>
      <c r="B275" s="240"/>
      <c r="E275" s="33"/>
      <c r="F275" s="34"/>
    </row>
    <row r="276" spans="1:9" x14ac:dyDescent="0.2">
      <c r="A276" s="30"/>
      <c r="B276" s="240"/>
      <c r="E276" s="33"/>
      <c r="F276" s="34"/>
    </row>
    <row r="277" spans="1:9" x14ac:dyDescent="0.2">
      <c r="A277" s="30"/>
      <c r="B277" s="240"/>
      <c r="E277" s="33"/>
      <c r="F277" s="34"/>
    </row>
    <row r="278" spans="1:9" x14ac:dyDescent="0.2">
      <c r="A278" s="30"/>
      <c r="B278" s="240"/>
      <c r="E278" s="33"/>
      <c r="F278" s="34"/>
    </row>
    <row r="279" spans="1:9" x14ac:dyDescent="0.2">
      <c r="A279" s="30"/>
      <c r="B279" s="240"/>
      <c r="E279" s="33"/>
      <c r="F279" s="34"/>
    </row>
    <row r="280" spans="1:9" x14ac:dyDescent="0.2">
      <c r="A280" s="30"/>
      <c r="B280" s="240"/>
      <c r="E280" s="33"/>
      <c r="F280" s="34"/>
    </row>
  </sheetData>
  <sheetProtection password="8481" sheet="1" objects="1" scenarios="1"/>
  <mergeCells count="2">
    <mergeCell ref="C6:F6"/>
    <mergeCell ref="C231:F231"/>
  </mergeCells>
  <pageMargins left="0.74803149606299202" right="0.74803149606299202" top="0.98425196850393704" bottom="0.98425196850393704" header="0.511811023622047" footer="0.51181102362204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Troškovnik -bez cijena</vt:lpstr>
      <vt:lpstr>Troškovnik - ostali radovi -bez</vt:lpstr>
      <vt:lpstr>'Troškovnik - ostali radovi -bez'!Podrucje_ispisa</vt:lpstr>
      <vt:lpstr>'Troškovnik -bez cijena'!Podrucje_ispisa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Vukelja</dc:creator>
  <cp:lastModifiedBy>Tomislav Regvart</cp:lastModifiedBy>
  <dcterms:created xsi:type="dcterms:W3CDTF">2026-04-01T08:31:12Z</dcterms:created>
  <dcterms:modified xsi:type="dcterms:W3CDTF">2026-04-27T11:29:36Z</dcterms:modified>
</cp:coreProperties>
</file>